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07FA97B-441C-4636-9672-6D3BB94D87C0}" xr6:coauthVersionLast="45" xr6:coauthVersionMax="45" xr10:uidLastSave="{00000000-0000-0000-0000-000000000000}"/>
  <bookViews>
    <workbookView xWindow="390" yWindow="390" windowWidth="17280" windowHeight="8955" tabRatio="585" xr2:uid="{8F305DDA-D281-4B6B-95DD-9AB3AE560BDD}"/>
  </bookViews>
  <sheets>
    <sheet name="In_Output" sheetId="4" r:id="rId1"/>
    <sheet name="Calc" sheetId="5" r:id="rId2"/>
  </sheets>
  <definedNames>
    <definedName name="FuelSpezGewicht" localSheetId="0">In_Output!$B$13</definedName>
    <definedName name="g_00">Calc!$I$4</definedName>
    <definedName name="g_01">Calc!$I$5</definedName>
    <definedName name="g_02">Calc!$I$6</definedName>
    <definedName name="g_03">Calc!$I$7</definedName>
    <definedName name="g_04">Calc!$I$8</definedName>
    <definedName name="g_05">Calc!$I$9</definedName>
    <definedName name="GewichtAktuell">In_Output!$D$10</definedName>
    <definedName name="GewichtMax">Calc!$I$12</definedName>
    <definedName name="ImmaAktuell">In_Output!$A$2</definedName>
    <definedName name="Immatrikulationen">Calc!$H$42:$H$43</definedName>
    <definedName name="m_00">Calc!$H$4</definedName>
    <definedName name="m_01">Calc!$H$5</definedName>
    <definedName name="m_02">Calc!$H$6</definedName>
    <definedName name="m_03">Calc!$H$7</definedName>
    <definedName name="m_04">Calc!$H$8</definedName>
    <definedName name="m_05">Calc!$H$9</definedName>
    <definedName name="MomentAktuell">In_Output!$F$10</definedName>
    <definedName name="MomentMax">Calc!$I$13</definedName>
    <definedName name="_xlnm.Print_Area" localSheetId="1">Calc!$A$1:$J$45</definedName>
    <definedName name="Table_GewichteHebel">Calc!$G$39:$J$40</definedName>
    <definedName name="Table_Moment_Gewicht">Calc!$A$3:$E$103</definedName>
    <definedName name="Table_SchwerpktBereich">Calc!$G$24:$I$35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D4" i="4"/>
  <c r="F4" i="4" s="1"/>
  <c r="H1" i="4" l="1"/>
  <c r="E3" i="4"/>
  <c r="D3" i="4"/>
  <c r="B12" i="4"/>
  <c r="I6" i="5"/>
  <c r="I7" i="5"/>
  <c r="I8" i="5"/>
  <c r="I9" i="5"/>
  <c r="I5" i="5"/>
  <c r="H9" i="5"/>
  <c r="H8" i="5"/>
  <c r="H7" i="5"/>
  <c r="H6" i="5"/>
  <c r="H5" i="5"/>
  <c r="M7" i="5"/>
  <c r="M5" i="5"/>
  <c r="M10" i="5"/>
  <c r="M6" i="5"/>
  <c r="M8" i="5"/>
  <c r="M9" i="5"/>
  <c r="F3" i="4" l="1"/>
  <c r="D10" i="4"/>
  <c r="E90" i="5"/>
  <c r="E94" i="5"/>
  <c r="E98" i="5"/>
  <c r="E102" i="5"/>
  <c r="E103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3" i="5"/>
  <c r="E97" i="5"/>
  <c r="E101" i="5"/>
  <c r="E54" i="5"/>
  <c r="E55" i="5"/>
  <c r="E92" i="5"/>
  <c r="E100" i="5"/>
  <c r="E56" i="5"/>
  <c r="E60" i="5"/>
  <c r="E64" i="5"/>
  <c r="E95" i="5"/>
  <c r="E59" i="5"/>
  <c r="E63" i="5"/>
  <c r="E96" i="5"/>
  <c r="E62" i="5"/>
  <c r="E91" i="5"/>
  <c r="E99" i="5"/>
  <c r="E58" i="5"/>
  <c r="E57" i="5"/>
  <c r="E61" i="5"/>
  <c r="C93" i="5"/>
  <c r="C97" i="5"/>
  <c r="C101" i="5"/>
  <c r="C92" i="5"/>
  <c r="C96" i="5"/>
  <c r="C100" i="5"/>
  <c r="C95" i="5"/>
  <c r="C59" i="5"/>
  <c r="C63" i="5"/>
  <c r="C103" i="5"/>
  <c r="C66" i="5"/>
  <c r="C68" i="5"/>
  <c r="C70" i="5"/>
  <c r="C72" i="5"/>
  <c r="C74" i="5"/>
  <c r="C76" i="5"/>
  <c r="C78" i="5"/>
  <c r="C80" i="5"/>
  <c r="C82" i="5"/>
  <c r="C84" i="5"/>
  <c r="C86" i="5"/>
  <c r="C90" i="5"/>
  <c r="C98" i="5"/>
  <c r="C55" i="5"/>
  <c r="C58" i="5"/>
  <c r="C62" i="5"/>
  <c r="C102" i="5"/>
  <c r="C67" i="5"/>
  <c r="C71" i="5"/>
  <c r="C77" i="5"/>
  <c r="C81" i="5"/>
  <c r="C85" i="5"/>
  <c r="C88" i="5"/>
  <c r="C91" i="5"/>
  <c r="C99" i="5"/>
  <c r="C57" i="5"/>
  <c r="C61" i="5"/>
  <c r="C65" i="5"/>
  <c r="C69" i="5"/>
  <c r="C73" i="5"/>
  <c r="C75" i="5"/>
  <c r="C79" i="5"/>
  <c r="C83" i="5"/>
  <c r="C87" i="5"/>
  <c r="C89" i="5"/>
  <c r="C94" i="5"/>
  <c r="C54" i="5"/>
  <c r="C56" i="5"/>
  <c r="C60" i="5"/>
  <c r="C64" i="5"/>
  <c r="B92" i="5"/>
  <c r="B96" i="5"/>
  <c r="B100" i="5"/>
  <c r="B91" i="5"/>
  <c r="B95" i="5"/>
  <c r="D95" i="5" s="1"/>
  <c r="B99" i="5"/>
  <c r="B103" i="5"/>
  <c r="B66" i="5"/>
  <c r="B68" i="5"/>
  <c r="B70" i="5"/>
  <c r="B72" i="5"/>
  <c r="B74" i="5"/>
  <c r="B76" i="5"/>
  <c r="B78" i="5"/>
  <c r="B80" i="5"/>
  <c r="B82" i="5"/>
  <c r="B84" i="5"/>
  <c r="B86" i="5"/>
  <c r="B88" i="5"/>
  <c r="D88" i="5" s="1"/>
  <c r="B90" i="5"/>
  <c r="D90" i="5" s="1"/>
  <c r="B98" i="5"/>
  <c r="D98" i="5" s="1"/>
  <c r="B55" i="5"/>
  <c r="D55" i="5" s="1"/>
  <c r="B58" i="5"/>
  <c r="D58" i="5" s="1"/>
  <c r="B62" i="5"/>
  <c r="D62" i="5" s="1"/>
  <c r="B93" i="5"/>
  <c r="B101" i="5"/>
  <c r="B57" i="5"/>
  <c r="B61" i="5"/>
  <c r="B83" i="5"/>
  <c r="D83" i="5" s="1"/>
  <c r="B56" i="5"/>
  <c r="D56" i="5" s="1"/>
  <c r="B60" i="5"/>
  <c r="D60" i="5" s="1"/>
  <c r="B63" i="5"/>
  <c r="B102" i="5"/>
  <c r="D102" i="5" s="1"/>
  <c r="B65" i="5"/>
  <c r="B67" i="5"/>
  <c r="B69" i="5"/>
  <c r="B71" i="5"/>
  <c r="B73" i="5"/>
  <c r="D73" i="5" s="1"/>
  <c r="B75" i="5"/>
  <c r="D75" i="5" s="1"/>
  <c r="B77" i="5"/>
  <c r="D77" i="5" s="1"/>
  <c r="B79" i="5"/>
  <c r="B81" i="5"/>
  <c r="B85" i="5"/>
  <c r="B87" i="5"/>
  <c r="B89" i="5"/>
  <c r="B94" i="5"/>
  <c r="B54" i="5"/>
  <c r="B64" i="5"/>
  <c r="D64" i="5" s="1"/>
  <c r="B97" i="5"/>
  <c r="B59" i="5"/>
  <c r="I13" i="5"/>
  <c r="I12" i="5"/>
  <c r="D59" i="5" l="1"/>
  <c r="D81" i="5"/>
  <c r="D91" i="5"/>
  <c r="D99" i="5"/>
  <c r="D63" i="5"/>
  <c r="D61" i="5"/>
  <c r="D101" i="5"/>
  <c r="D82" i="5"/>
  <c r="D74" i="5"/>
  <c r="D66" i="5"/>
  <c r="D69" i="5"/>
  <c r="D54" i="5"/>
  <c r="D84" i="5"/>
  <c r="D76" i="5"/>
  <c r="D68" i="5"/>
  <c r="D92" i="5"/>
  <c r="D87" i="5"/>
  <c r="D85" i="5"/>
  <c r="D67" i="5"/>
  <c r="D57" i="5"/>
  <c r="D72" i="5"/>
  <c r="D103" i="5"/>
  <c r="D94" i="5"/>
  <c r="D65" i="5"/>
  <c r="D86" i="5"/>
  <c r="D78" i="5"/>
  <c r="D70" i="5"/>
  <c r="D96" i="5"/>
  <c r="D80" i="5"/>
  <c r="D100" i="5"/>
  <c r="D97" i="5"/>
  <c r="D89" i="5"/>
  <c r="D79" i="5"/>
  <c r="D71" i="5"/>
  <c r="D9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3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4" i="5"/>
  <c r="B3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13" i="5"/>
  <c r="C14" i="5"/>
  <c r="C15" i="5"/>
  <c r="C16" i="5"/>
  <c r="C17" i="5"/>
  <c r="C18" i="5"/>
  <c r="C19" i="5"/>
  <c r="C20" i="5"/>
  <c r="C21" i="5"/>
  <c r="C22" i="5"/>
  <c r="C23" i="5"/>
  <c r="C4" i="5"/>
  <c r="C5" i="5"/>
  <c r="C6" i="5"/>
  <c r="C7" i="5"/>
  <c r="C8" i="5"/>
  <c r="C9" i="5"/>
  <c r="C10" i="5"/>
  <c r="C11" i="5"/>
  <c r="C12" i="5"/>
  <c r="C3" i="5"/>
  <c r="M15" i="5"/>
  <c r="M19" i="5"/>
  <c r="M20" i="5"/>
  <c r="M16" i="5"/>
  <c r="M18" i="5"/>
  <c r="D11" i="5" l="1"/>
  <c r="D7" i="5"/>
  <c r="D23" i="5"/>
  <c r="D19" i="5"/>
  <c r="D15" i="5"/>
  <c r="D51" i="5"/>
  <c r="D47" i="5"/>
  <c r="D43" i="5"/>
  <c r="D39" i="5"/>
  <c r="D35" i="5"/>
  <c r="D31" i="5"/>
  <c r="D27" i="5"/>
  <c r="D4" i="5"/>
  <c r="D50" i="5"/>
  <c r="D46" i="5"/>
  <c r="D42" i="5"/>
  <c r="D38" i="5"/>
  <c r="D22" i="5"/>
  <c r="D18" i="5"/>
  <c r="D14" i="5"/>
  <c r="D10" i="5"/>
  <c r="D6" i="5"/>
  <c r="D30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26" i="5"/>
  <c r="D52" i="5"/>
  <c r="D48" i="5"/>
  <c r="D44" i="5"/>
  <c r="D40" i="5"/>
  <c r="D36" i="5"/>
  <c r="D32" i="5"/>
  <c r="D28" i="5"/>
  <c r="D24" i="5"/>
  <c r="D20" i="5"/>
  <c r="D16" i="5"/>
  <c r="D12" i="5"/>
  <c r="D8" i="5"/>
  <c r="D34" i="5"/>
  <c r="D3" i="5"/>
  <c r="F8" i="4"/>
  <c r="F9" i="4"/>
  <c r="F7" i="4"/>
  <c r="F6" i="4"/>
  <c r="F5" i="4"/>
  <c r="J10" i="5" l="1"/>
  <c r="J7" i="5"/>
  <c r="J6" i="5"/>
  <c r="J4" i="5"/>
  <c r="J8" i="5"/>
  <c r="J5" i="5"/>
  <c r="J9" i="5"/>
  <c r="I10" i="5"/>
  <c r="I19" i="5"/>
  <c r="F10" i="4"/>
  <c r="I16" i="5" l="1"/>
  <c r="I15" i="5"/>
  <c r="H10" i="5"/>
  <c r="I18" i="5" l="1"/>
  <c r="I20" i="5" s="1"/>
  <c r="J1" i="4" s="1"/>
  <c r="A10" i="4" l="1"/>
  <c r="H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Böni</author>
  </authors>
  <commentList>
    <comment ref="C4" authorId="0" shapeId="0" xr:uid="{0F9441E7-B523-4F82-92D6-EC746A4AE3D7}">
      <text>
        <r>
          <rPr>
            <b/>
            <sz val="9"/>
            <color indexed="81"/>
            <rFont val="Tahoma"/>
            <family val="2"/>
          </rPr>
          <t>Wichtig:</t>
        </r>
        <r>
          <rPr>
            <sz val="9"/>
            <color indexed="81"/>
            <rFont val="Tahoma"/>
            <family val="2"/>
          </rPr>
          <t xml:space="preserve">
Bitte Menge in diesem Feld
in </t>
        </r>
        <r>
          <rPr>
            <b/>
            <sz val="9"/>
            <color indexed="81"/>
            <rFont val="Tahoma"/>
            <family val="2"/>
          </rPr>
          <t>Litern</t>
        </r>
        <r>
          <rPr>
            <sz val="9"/>
            <color indexed="81"/>
            <rFont val="Tahoma"/>
            <family val="2"/>
          </rPr>
          <t xml:space="preserve"> eingeben!
In allen übrigen Feldern
das Gewicht in [kp] eintragen.</t>
        </r>
      </text>
    </comment>
  </commentList>
</comments>
</file>

<file path=xl/sharedStrings.xml><?xml version="1.0" encoding="utf-8"?>
<sst xmlns="http://schemas.openxmlformats.org/spreadsheetml/2006/main" count="74" uniqueCount="64">
  <si>
    <t>Berechnung des Beladezustandes</t>
  </si>
  <si>
    <t>Leergewicht</t>
  </si>
  <si>
    <t>Kraftstoff</t>
  </si>
  <si>
    <t>Pax vorne</t>
  </si>
  <si>
    <t>Pilot</t>
  </si>
  <si>
    <t>Pax 1 hinten</t>
  </si>
  <si>
    <t>Pax 2 hinten</t>
  </si>
  <si>
    <t>HB-EXU</t>
  </si>
  <si>
    <t>Ltr.</t>
  </si>
  <si>
    <t>Gewicht bzw.
Menge</t>
  </si>
  <si>
    <t>Spez. Gewicht Avgas</t>
  </si>
  <si>
    <t>Die Resultate aus der Verwendung dieser Tabelle sind nur indikativ.</t>
  </si>
  <si>
    <t>massgebende Grundlage für den Betrieb der ASSAG-Flugzeuge</t>
  </si>
  <si>
    <t xml:space="preserve">Das entsprechende Flughandbuch (AFM) ist die einzige  </t>
  </si>
  <si>
    <t>HB-EXP</t>
  </si>
  <si>
    <t>Gepäck</t>
  </si>
  <si>
    <t>Hebel
[m]</t>
  </si>
  <si>
    <t>P0</t>
  </si>
  <si>
    <t>P1</t>
  </si>
  <si>
    <t>P2</t>
  </si>
  <si>
    <t>P3</t>
  </si>
  <si>
    <t>P4</t>
  </si>
  <si>
    <t>P5</t>
  </si>
  <si>
    <t>Moment</t>
  </si>
  <si>
    <t>Fluggewicht</t>
  </si>
  <si>
    <t>P</t>
  </si>
  <si>
    <t>Gewicht</t>
  </si>
  <si>
    <t>Linie1_2</t>
  </si>
  <si>
    <t>Linie2_3</t>
  </si>
  <si>
    <t>max. Moment [mkp]</t>
  </si>
  <si>
    <t>max. Fluggewicht: [kp]</t>
  </si>
  <si>
    <t>Limite_L</t>
  </si>
  <si>
    <t>Limite_R</t>
  </si>
  <si>
    <t>innerhalb Limiten?</t>
  </si>
  <si>
    <t>rechnerische Limite_L</t>
  </si>
  <si>
    <t>rechnerische Limite_R</t>
  </si>
  <si>
    <t>Gewicht &lt; max Fluggewicht?</t>
  </si>
  <si>
    <t>PX</t>
  </si>
  <si>
    <t>Schwerpunkt</t>
  </si>
  <si>
    <t>Moment und 
Leergewicht</t>
  </si>
  <si>
    <t>Moment
[mKp]</t>
  </si>
  <si>
    <t>Kp</t>
  </si>
  <si>
    <t>EXPp0</t>
  </si>
  <si>
    <t>EXPp1</t>
  </si>
  <si>
    <t>EXPp2</t>
  </si>
  <si>
    <t>EXPp3</t>
  </si>
  <si>
    <t>EXPp4</t>
  </si>
  <si>
    <t>EXPp5</t>
  </si>
  <si>
    <t>EXUp0</t>
  </si>
  <si>
    <t>EXUp1</t>
  </si>
  <si>
    <t>EXUp2</t>
  </si>
  <si>
    <t>EXUp3</t>
  </si>
  <si>
    <t>EXUp4</t>
  </si>
  <si>
    <t>EXUp5</t>
  </si>
  <si>
    <t>EXU</t>
  </si>
  <si>
    <t>EXP</t>
  </si>
  <si>
    <t>Eckpunkte für Schwerpunktbereiche</t>
  </si>
  <si>
    <t>Hebel</t>
  </si>
  <si>
    <t>Aktuelle Gewichte, Hebel</t>
  </si>
  <si>
    <t>Datum</t>
  </si>
  <si>
    <t>Gewicht
[kp]</t>
  </si>
  <si>
    <t>Anpassungen:</t>
  </si>
  <si>
    <t>Werte für HB-EXP aktualisiert</t>
  </si>
  <si>
    <t>Wägedatum, Leermasse, Hebel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</si>
</sst>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00"/>
    <numFmt numFmtId="167" formatCode="_ * #,##0.0_ ;_ * \-#,##0.0_ ;_ * &quot;-&quot;??_ ;_ @_ "/>
    <numFmt numFmtId="168" formatCode="d/\ mmm/\ yyyy"/>
    <numFmt numFmtId="169" formatCode="0.00000"/>
    <numFmt numFmtId="170" formatCode="_ * #,##0.000000_ ;_ * \-#,##0.000000_ ;_ * &quot;-&quot;??_ ;_ @_ 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6" tint="-0.249977111117893"/>
      <name val="Arial"/>
      <family val="2"/>
    </font>
    <font>
      <sz val="8"/>
      <color theme="6" tint="-0.249977111117893"/>
      <name val="Arial"/>
      <family val="2"/>
    </font>
    <font>
      <b/>
      <sz val="9"/>
      <color theme="0"/>
      <name val="Arial"/>
      <family val="2"/>
    </font>
    <font>
      <b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167" fontId="13" fillId="0" borderId="0" xfId="1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65" fontId="13" fillId="0" borderId="0" xfId="1" applyNumberFormat="1" applyFont="1" applyAlignment="1">
      <alignment vertical="center"/>
    </xf>
    <xf numFmtId="167" fontId="13" fillId="0" borderId="0" xfId="0" applyNumberFormat="1" applyFont="1" applyAlignment="1">
      <alignment vertical="center"/>
    </xf>
    <xf numFmtId="0" fontId="12" fillId="0" borderId="0" xfId="0" applyFont="1"/>
    <xf numFmtId="0" fontId="14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0" fillId="5" borderId="0" xfId="0" applyFill="1"/>
    <xf numFmtId="0" fontId="0" fillId="6" borderId="0" xfId="0" applyFill="1"/>
    <xf numFmtId="0" fontId="13" fillId="6" borderId="0" xfId="0" applyFont="1" applyFill="1" applyAlignment="1">
      <alignment horizontal="right" vertical="center"/>
    </xf>
    <xf numFmtId="165" fontId="13" fillId="6" borderId="0" xfId="1" applyNumberFormat="1" applyFont="1" applyFill="1" applyAlignment="1">
      <alignment vertical="center"/>
    </xf>
    <xf numFmtId="0" fontId="1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3" fillId="5" borderId="0" xfId="0" applyFont="1" applyFill="1" applyAlignment="1">
      <alignment horizontal="right" vertical="center"/>
    </xf>
    <xf numFmtId="165" fontId="13" fillId="5" borderId="0" xfId="1" applyNumberFormat="1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right" vertical="center"/>
    </xf>
    <xf numFmtId="0" fontId="16" fillId="0" borderId="0" xfId="0" applyFont="1"/>
    <xf numFmtId="165" fontId="16" fillId="0" borderId="0" xfId="1" applyNumberFormat="1" applyFont="1"/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13" fillId="7" borderId="0" xfId="0" applyFont="1" applyFill="1" applyAlignment="1">
      <alignment vertical="center"/>
    </xf>
    <xf numFmtId="165" fontId="13" fillId="0" borderId="0" xfId="0" applyNumberFormat="1" applyFont="1" applyAlignment="1">
      <alignment vertical="center"/>
    </xf>
    <xf numFmtId="0" fontId="18" fillId="7" borderId="11" xfId="0" applyFont="1" applyFill="1" applyBorder="1" applyAlignment="1">
      <alignment horizontal="right" vertical="center"/>
    </xf>
    <xf numFmtId="165" fontId="19" fillId="8" borderId="0" xfId="1" applyNumberFormat="1" applyFont="1" applyFill="1" applyAlignment="1">
      <alignment vertical="center"/>
    </xf>
    <xf numFmtId="165" fontId="19" fillId="0" borderId="0" xfId="1" applyNumberFormat="1" applyFont="1" applyAlignment="1">
      <alignment vertical="center"/>
    </xf>
    <xf numFmtId="0" fontId="20" fillId="4" borderId="0" xfId="0" applyFont="1" applyFill="1" applyAlignment="1">
      <alignment horizontal="left" vertical="center"/>
    </xf>
    <xf numFmtId="43" fontId="19" fillId="8" borderId="0" xfId="1" applyFont="1" applyFill="1" applyAlignment="1">
      <alignment vertical="center"/>
    </xf>
    <xf numFmtId="43" fontId="19" fillId="0" borderId="0" xfId="1" applyFont="1" applyAlignment="1">
      <alignment vertical="center"/>
    </xf>
    <xf numFmtId="168" fontId="19" fillId="9" borderId="0" xfId="1" applyNumberFormat="1" applyFont="1" applyFill="1" applyAlignment="1">
      <alignment vertical="center"/>
    </xf>
    <xf numFmtId="168" fontId="19" fillId="0" borderId="0" xfId="1" applyNumberFormat="1" applyFont="1" applyAlignment="1">
      <alignment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170" fontId="19" fillId="8" borderId="0" xfId="1" applyNumberFormat="1" applyFont="1" applyFill="1" applyAlignment="1">
      <alignment vertical="center"/>
    </xf>
    <xf numFmtId="170" fontId="19" fillId="0" borderId="0" xfId="1" applyNumberFormat="1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4" xfId="0" applyBorder="1" applyAlignment="1">
      <alignment vertical="center"/>
    </xf>
    <xf numFmtId="0" fontId="0" fillId="0" borderId="15" xfId="0" applyBorder="1"/>
    <xf numFmtId="0" fontId="0" fillId="0" borderId="12" xfId="0" applyBorder="1"/>
    <xf numFmtId="0" fontId="0" fillId="0" borderId="14" xfId="0" applyBorder="1"/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8" fontId="13" fillId="0" borderId="16" xfId="0" applyNumberFormat="1" applyFont="1" applyBorder="1" applyAlignment="1">
      <alignment horizontal="left" vertical="center"/>
    </xf>
    <xf numFmtId="0" fontId="2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4" borderId="0" xfId="0" applyFont="1" applyFill="1" applyAlignment="1" applyProtection="1">
      <alignment vertical="center"/>
    </xf>
    <xf numFmtId="1" fontId="7" fillId="0" borderId="0" xfId="0" applyNumberFormat="1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166" fontId="0" fillId="3" borderId="1" xfId="0" applyNumberFormat="1" applyFill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1" fontId="0" fillId="3" borderId="4" xfId="0" applyNumberFormat="1" applyFill="1" applyBorder="1" applyAlignment="1" applyProtection="1">
      <alignment horizontal="center" vertical="center"/>
    </xf>
    <xf numFmtId="166" fontId="0" fillId="3" borderId="4" xfId="0" applyNumberForma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66" fontId="0" fillId="3" borderId="5" xfId="0" applyNumberForma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1" fontId="7" fillId="0" borderId="9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1" fontId="7" fillId="0" borderId="10" xfId="0" applyNumberFormat="1" applyFont="1" applyBorder="1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169" fontId="12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</cellXfs>
  <cellStyles count="2">
    <cellStyle name="Comma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5" formatCode="_ * #,##0_ ;_ * \-#,##0_ ;_ * &quot;-&quot;??_ ;_ @_ 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5" formatCode="_ * #,##0_ ;_ * \-#,##0_ ;_ * &quot;-&quot;??_ ;_ @_ 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5" formatCode="_ * #,##0_ ;_ * \-#,##0_ ;_ * &quot;-&quot;??_ ;_ @_ 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5" formatCode="_ * #,##0_ ;_ * \-#,##0_ ;_ * &quot;-&quot;??_ ;_ @_ 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indexed="64"/>
          <bgColor theme="2" tint="-0.249977111117893"/>
        </patternFill>
      </fill>
      <alignment vertical="center" textRotation="0" wrapText="0" indent="0" justifyLastLine="0" shrinkToFit="0" readingOrder="0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Zulässiger </a:t>
            </a: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Schwerpunktbereich</a:t>
            </a:r>
            <a:br>
              <a:rPr lang="en-US" b="1">
                <a:solidFill>
                  <a:schemeClr val="accent1">
                    <a:lumMod val="75000"/>
                  </a:schemeClr>
                </a:solidFill>
              </a:rPr>
            </a:br>
            <a:r>
              <a:rPr lang="en-US"/>
              <a:t>mit </a:t>
            </a:r>
            <a:r>
              <a:rPr lang="en-US" b="1"/>
              <a:t>indikativer Anzeige</a:t>
            </a:r>
            <a:r>
              <a:rPr lang="en-US"/>
              <a:t> des</a:t>
            </a:r>
            <a:br>
              <a:rPr lang="en-US"/>
            </a:br>
            <a:r>
              <a:rPr lang="en-US" b="1">
                <a:solidFill>
                  <a:srgbClr val="FF0000"/>
                </a:solidFill>
              </a:rPr>
              <a:t>Schwerpunktes</a:t>
            </a:r>
            <a:br>
              <a:rPr lang="en-US"/>
            </a:br>
            <a:r>
              <a:rPr lang="en-US"/>
              <a:t>gem.</a:t>
            </a:r>
            <a:r>
              <a:rPr lang="en-US" baseline="0"/>
              <a:t> Eingaben</a:t>
            </a:r>
            <a:endParaRPr lang="en-US"/>
          </a:p>
        </c:rich>
      </c:tx>
      <c:layout>
        <c:manualLayout>
          <c:xMode val="edge"/>
          <c:yMode val="edge"/>
          <c:x val="0.12885416666666666"/>
          <c:y val="8.1325301204819275E-2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150262467191607E-2"/>
          <c:y val="4.9700176366843048E-2"/>
          <c:w val="0.85229418197725282"/>
          <c:h val="0.81520072340874594"/>
        </c:manualLayout>
      </c:layout>
      <c:scatterChart>
        <c:scatterStyle val="lineMarker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Calc!$H$5:$H$9</c:f>
              <c:numCache>
                <c:formatCode>_ * #,##0_ ;_ * \-#,##0_ ;_ * "-"??_ ;_ @_ </c:formatCode>
                <c:ptCount val="5"/>
                <c:pt idx="0">
                  <c:v>110</c:v>
                </c:pt>
                <c:pt idx="1">
                  <c:v>155</c:v>
                </c:pt>
                <c:pt idx="2">
                  <c:v>425</c:v>
                </c:pt>
                <c:pt idx="3">
                  <c:v>560</c:v>
                </c:pt>
                <c:pt idx="4">
                  <c:v>310</c:v>
                </c:pt>
              </c:numCache>
            </c:numRef>
          </c:xVal>
          <c:yVal>
            <c:numRef>
              <c:f>Calc!$I$5:$I$9</c:f>
              <c:numCache>
                <c:formatCode>_ * #,##0_ ;_ * \-#,##0_ ;_ * "-"??_ ;_ @_ </c:formatCode>
                <c:ptCount val="5"/>
                <c:pt idx="0">
                  <c:v>550</c:v>
                </c:pt>
                <c:pt idx="1">
                  <c:v>750</c:v>
                </c:pt>
                <c:pt idx="2">
                  <c:v>1005</c:v>
                </c:pt>
                <c:pt idx="3">
                  <c:v>1005</c:v>
                </c:pt>
                <c:pt idx="4">
                  <c:v>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7B-4DCE-91D0-15D511539FA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12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Calc!$H$10</c:f>
              <c:numCache>
                <c:formatCode>_ * #,##0_ ;_ * \-#,##0_ ;_ * "-"??_ ;_ @_ </c:formatCode>
                <c:ptCount val="1"/>
                <c:pt idx="0">
                  <c:v>356.41039999999998</c:v>
                </c:pt>
              </c:numCache>
            </c:numRef>
          </c:xVal>
          <c:yVal>
            <c:numRef>
              <c:f>Calc!$J$6:$J$11</c:f>
              <c:numCache>
                <c:formatCode>General</c:formatCode>
                <c:ptCount val="6"/>
                <c:pt idx="0">
                  <c:v>782.6</c:v>
                </c:pt>
                <c:pt idx="1">
                  <c:v>782.6</c:v>
                </c:pt>
                <c:pt idx="2">
                  <c:v>782.6</c:v>
                </c:pt>
                <c:pt idx="3">
                  <c:v>782.6</c:v>
                </c:pt>
                <c:pt idx="4">
                  <c:v>782.6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7B-4DCE-91D0-15D511539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103256"/>
        <c:axId val="562098664"/>
      </c:scatterChart>
      <c:valAx>
        <c:axId val="562103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Fluggewichtsmoment [mkp]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7346799369563732"/>
              <c:y val="0.92153152130863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098664"/>
        <c:crosses val="autoZero"/>
        <c:crossBetween val="midCat"/>
      </c:valAx>
      <c:valAx>
        <c:axId val="562098664"/>
        <c:scaling>
          <c:orientation val="minMax"/>
          <c:min val="5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Fluggewicht [kp]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103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accent1">
                    <a:lumMod val="75000"/>
                  </a:schemeClr>
                </a:solidFill>
              </a:rPr>
              <a:t>Zulässiger Schwerpunktbereich</a:t>
            </a:r>
            <a:br>
              <a:rPr lang="en-US" sz="1200"/>
            </a:br>
            <a:r>
              <a:rPr lang="en-US" sz="1200"/>
              <a:t>und</a:t>
            </a:r>
            <a:br>
              <a:rPr lang="en-US" sz="1200"/>
            </a:br>
            <a:r>
              <a:rPr lang="en-US" sz="1200"/>
              <a:t>aktuelle</a:t>
            </a:r>
            <a:r>
              <a:rPr lang="en-US" sz="1200" baseline="0"/>
              <a:t> </a:t>
            </a:r>
            <a:r>
              <a:rPr lang="en-US" sz="1200" b="1" baseline="0">
                <a:solidFill>
                  <a:srgbClr val="FF0000"/>
                </a:solidFill>
              </a:rPr>
              <a:t>Schwerpunktlage</a:t>
            </a:r>
            <a:endParaRPr lang="en-US" sz="1200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1558333333333333"/>
          <c:y val="9.6793808568605727E-2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150262467191607E-2"/>
          <c:y val="4.9700176366843048E-2"/>
          <c:w val="0.85229418197725282"/>
          <c:h val="0.86847171881292617"/>
        </c:manualLayout>
      </c:layout>
      <c:scatterChart>
        <c:scatterStyle val="lineMarker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Calc!$H$5:$H$9</c:f>
              <c:numCache>
                <c:formatCode>_ * #,##0_ ;_ * \-#,##0_ ;_ * "-"??_ ;_ @_ </c:formatCode>
                <c:ptCount val="5"/>
                <c:pt idx="0">
                  <c:v>110</c:v>
                </c:pt>
                <c:pt idx="1">
                  <c:v>155</c:v>
                </c:pt>
                <c:pt idx="2">
                  <c:v>425</c:v>
                </c:pt>
                <c:pt idx="3">
                  <c:v>560</c:v>
                </c:pt>
                <c:pt idx="4">
                  <c:v>310</c:v>
                </c:pt>
              </c:numCache>
            </c:numRef>
          </c:xVal>
          <c:yVal>
            <c:numRef>
              <c:f>Calc!$I$5:$I$9</c:f>
              <c:numCache>
                <c:formatCode>_ * #,##0_ ;_ * \-#,##0_ ;_ * "-"??_ ;_ @_ </c:formatCode>
                <c:ptCount val="5"/>
                <c:pt idx="0">
                  <c:v>550</c:v>
                </c:pt>
                <c:pt idx="1">
                  <c:v>750</c:v>
                </c:pt>
                <c:pt idx="2">
                  <c:v>1005</c:v>
                </c:pt>
                <c:pt idx="3">
                  <c:v>1005</c:v>
                </c:pt>
                <c:pt idx="4">
                  <c:v>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12-440F-BEE6-539388959EC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12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Calc!$H$10</c:f>
              <c:numCache>
                <c:formatCode>_ * #,##0_ ;_ * \-#,##0_ ;_ * "-"??_ ;_ @_ </c:formatCode>
                <c:ptCount val="1"/>
                <c:pt idx="0">
                  <c:v>356.41039999999998</c:v>
                </c:pt>
              </c:numCache>
            </c:numRef>
          </c:xVal>
          <c:yVal>
            <c:numRef>
              <c:f>Calc!$J$6:$J$11</c:f>
              <c:numCache>
                <c:formatCode>General</c:formatCode>
                <c:ptCount val="6"/>
                <c:pt idx="0">
                  <c:v>782.6</c:v>
                </c:pt>
                <c:pt idx="1">
                  <c:v>782.6</c:v>
                </c:pt>
                <c:pt idx="2">
                  <c:v>782.6</c:v>
                </c:pt>
                <c:pt idx="3">
                  <c:v>782.6</c:v>
                </c:pt>
                <c:pt idx="4">
                  <c:v>782.6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12-440F-BEE6-539388959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103256"/>
        <c:axId val="562098664"/>
      </c:scatterChart>
      <c:valAx>
        <c:axId val="562103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098664"/>
        <c:crosses val="autoZero"/>
        <c:crossBetween val="midCat"/>
      </c:valAx>
      <c:valAx>
        <c:axId val="562098664"/>
        <c:scaling>
          <c:orientation val="minMax"/>
          <c:min val="5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103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17</xdr:col>
      <xdr:colOff>0</xdr:colOff>
      <xdr:row>10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EBCBC0-D3C5-4BD0-800C-C0725A82C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18</xdr:col>
      <xdr:colOff>609599</xdr:colOff>
      <xdr:row>23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ABB83B-E9B4-4417-86DF-266F3AF2D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C36911-E52A-44E3-BC1F-11FFC8285E74}" name="Table1" displayName="Table1" ref="G3:J10" totalsRowCount="1" headerRowDxfId="9" dataDxfId="8">
  <autoFilter ref="G3:J9" xr:uid="{3B20149C-D0A6-48F7-B1FE-31471552999D}">
    <filterColumn colId="0" hiddenButton="1"/>
    <filterColumn colId="1" hiddenButton="1"/>
    <filterColumn colId="2" hiddenButton="1"/>
    <filterColumn colId="3" hiddenButton="1"/>
  </autoFilter>
  <tableColumns count="4">
    <tableColumn id="1" xr3:uid="{B8595269-C5BD-4CF6-96AE-9AEE914FD6C4}" name="P" totalsRowLabel="PX" dataDxfId="7" totalsRowDxfId="6"/>
    <tableColumn id="2" xr3:uid="{39436A6A-2337-4021-8A5B-61B290F8E33F}" name="Moment" totalsRowFunction="custom" dataDxfId="5" totalsRowDxfId="4" dataCellStyle="Comma">
      <totalsRowFormula>+MomentAktuell</totalsRowFormula>
    </tableColumn>
    <tableColumn id="3" xr3:uid="{8388747C-781B-4A50-B926-D135D926742C}" name="Fluggewicht" totalsRowFunction="custom" dataDxfId="3" totalsRowDxfId="2" dataCellStyle="Comma">
      <totalsRowFormula>+GewichtAktuell</totalsRowFormula>
    </tableColumn>
    <tableColumn id="4" xr3:uid="{645FBF91-178A-414D-ADA8-C0BE257957AA}" name="Schwerpunkt" totalsRowFunction="custom" dataDxfId="1" totalsRowDxfId="0">
      <calculatedColumnFormula>+GewichtAktuell</calculatedColumnFormula>
      <totalsRowFormula>+GewichtAktuell</totalsRow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7613-A6F5-42D7-91A5-67AF7BF35768}">
  <dimension ref="A1:M17"/>
  <sheetViews>
    <sheetView tabSelected="1" zoomScale="108" zoomScaleNormal="108" workbookViewId="0">
      <selection activeCell="A2" sqref="A2"/>
    </sheetView>
  </sheetViews>
  <sheetFormatPr defaultColWidth="8.7109375" defaultRowHeight="12.75" x14ac:dyDescent="0.2"/>
  <cols>
    <col min="1" max="1" width="16.28515625" style="62" customWidth="1"/>
    <col min="2" max="2" width="6.28515625" style="62" customWidth="1"/>
    <col min="3" max="3" width="13.7109375" style="62" customWidth="1"/>
    <col min="4" max="4" width="8.7109375" style="62" customWidth="1"/>
    <col min="5" max="6" width="11.7109375" style="62" customWidth="1"/>
    <col min="7" max="7" width="3.7109375" style="62" customWidth="1"/>
    <col min="8" max="10" width="8.7109375" style="62"/>
    <col min="11" max="11" width="8.7109375" style="62" customWidth="1"/>
    <col min="12" max="16384" width="8.7109375" style="62"/>
  </cols>
  <sheetData>
    <row r="1" spans="1:13" ht="31.9" customHeight="1" x14ac:dyDescent="0.2">
      <c r="A1" s="55" t="s">
        <v>0</v>
      </c>
      <c r="B1" s="56"/>
      <c r="C1" s="57"/>
      <c r="D1" s="57"/>
      <c r="E1" s="57"/>
      <c r="F1" s="57"/>
      <c r="G1" s="57"/>
      <c r="H1" s="58" t="str">
        <f>+ImmaAktuell</f>
        <v>HB-EXP</v>
      </c>
      <c r="I1" s="57"/>
      <c r="J1" s="59" t="str">
        <f>IF(Calc!I20,"Beladung ok","Beladung überprüfen!")</f>
        <v>Beladung ok</v>
      </c>
      <c r="K1" s="60"/>
      <c r="L1" s="60"/>
      <c r="M1" s="61"/>
    </row>
    <row r="2" spans="1:13" ht="25.9" customHeight="1" x14ac:dyDescent="0.2">
      <c r="A2" s="38" t="s">
        <v>14</v>
      </c>
      <c r="B2" s="63"/>
      <c r="C2" s="64" t="s">
        <v>9</v>
      </c>
      <c r="D2" s="64" t="s">
        <v>60</v>
      </c>
      <c r="E2" s="64" t="s">
        <v>16</v>
      </c>
      <c r="F2" s="64" t="s">
        <v>40</v>
      </c>
      <c r="G2" s="57"/>
      <c r="H2" s="57"/>
      <c r="I2" s="57"/>
      <c r="J2" s="57"/>
      <c r="K2" s="57"/>
      <c r="L2" s="57"/>
    </row>
    <row r="3" spans="1:13" ht="34.9" customHeight="1" thickBot="1" x14ac:dyDescent="0.25">
      <c r="A3" s="65" t="s">
        <v>1</v>
      </c>
      <c r="B3" s="66" t="s">
        <v>41</v>
      </c>
      <c r="D3" s="67">
        <f>+VLOOKUP(RIGHT(ImmaAktuell,3),Table_GewichteHebel,2,FALSE)</f>
        <v>644.4</v>
      </c>
      <c r="E3" s="68">
        <f>+VLOOKUP(RIGHT(ImmaAktuell,3),Table_GewichteHebel,3,FALSE)</f>
        <v>0.40600000000000003</v>
      </c>
      <c r="F3" s="69">
        <f>+D3*E3</f>
        <v>261.62639999999999</v>
      </c>
      <c r="G3" s="57"/>
      <c r="H3" s="57"/>
      <c r="I3" s="57"/>
      <c r="J3" s="57"/>
      <c r="K3" s="57"/>
      <c r="L3" s="57"/>
    </row>
    <row r="4" spans="1:13" ht="34.9" customHeight="1" thickBot="1" x14ac:dyDescent="0.25">
      <c r="A4" s="65" t="s">
        <v>2</v>
      </c>
      <c r="B4" s="66" t="s">
        <v>8</v>
      </c>
      <c r="C4" s="36">
        <v>60</v>
      </c>
      <c r="D4" s="70">
        <f>+C4*FuelSpezGewicht</f>
        <v>43.199999999999996</v>
      </c>
      <c r="E4" s="71">
        <v>1.1200000000000001</v>
      </c>
      <c r="F4" s="69">
        <f>+D4*E4</f>
        <v>48.384</v>
      </c>
      <c r="G4" s="57"/>
      <c r="H4" s="57"/>
      <c r="I4" s="57"/>
      <c r="J4" s="57"/>
      <c r="K4" s="57"/>
      <c r="L4" s="57"/>
    </row>
    <row r="5" spans="1:13" ht="34.9" customHeight="1" thickBot="1" x14ac:dyDescent="0.25">
      <c r="A5" s="65" t="s">
        <v>4</v>
      </c>
      <c r="B5" s="66" t="s">
        <v>41</v>
      </c>
      <c r="C5" s="36">
        <v>90</v>
      </c>
      <c r="D5" s="70">
        <f>+C5</f>
        <v>90</v>
      </c>
      <c r="E5" s="71">
        <v>0.41</v>
      </c>
      <c r="F5" s="69">
        <f>+C5*E5</f>
        <v>36.9</v>
      </c>
      <c r="G5" s="57"/>
      <c r="H5" s="57"/>
      <c r="I5" s="57"/>
      <c r="J5" s="57"/>
      <c r="K5" s="57"/>
      <c r="L5" s="57"/>
    </row>
    <row r="6" spans="1:13" ht="34.9" customHeight="1" thickBot="1" x14ac:dyDescent="0.25">
      <c r="A6" s="65" t="s">
        <v>3</v>
      </c>
      <c r="B6" s="66" t="s">
        <v>41</v>
      </c>
      <c r="C6" s="36"/>
      <c r="D6" s="70">
        <f>+C6</f>
        <v>0</v>
      </c>
      <c r="E6" s="71">
        <v>0.41</v>
      </c>
      <c r="F6" s="69">
        <f>+C6*E6</f>
        <v>0</v>
      </c>
      <c r="G6" s="57"/>
      <c r="H6" s="57"/>
      <c r="I6" s="57"/>
      <c r="J6" s="57"/>
      <c r="K6" s="57"/>
      <c r="L6" s="57"/>
    </row>
    <row r="7" spans="1:13" ht="34.9" customHeight="1" thickBot="1" x14ac:dyDescent="0.25">
      <c r="A7" s="65" t="s">
        <v>5</v>
      </c>
      <c r="B7" s="66" t="s">
        <v>41</v>
      </c>
      <c r="C7" s="36"/>
      <c r="D7" s="70">
        <f>+C7</f>
        <v>0</v>
      </c>
      <c r="E7" s="71">
        <v>1.19</v>
      </c>
      <c r="F7" s="69">
        <f>+C7*E7</f>
        <v>0</v>
      </c>
      <c r="G7" s="57"/>
      <c r="H7" s="57"/>
      <c r="I7" s="57"/>
      <c r="J7" s="57"/>
      <c r="K7" s="57"/>
      <c r="L7" s="57"/>
    </row>
    <row r="8" spans="1:13" ht="34.9" customHeight="1" thickBot="1" x14ac:dyDescent="0.25">
      <c r="A8" s="72" t="s">
        <v>6</v>
      </c>
      <c r="B8" s="73" t="s">
        <v>41</v>
      </c>
      <c r="C8" s="37"/>
      <c r="D8" s="70">
        <f>+C8</f>
        <v>0</v>
      </c>
      <c r="E8" s="74">
        <v>1.19</v>
      </c>
      <c r="F8" s="69">
        <f>+C8*E8</f>
        <v>0</v>
      </c>
      <c r="G8" s="57"/>
      <c r="H8" s="57"/>
      <c r="I8" s="57"/>
      <c r="J8" s="57"/>
      <c r="K8" s="57"/>
      <c r="L8" s="57"/>
    </row>
    <row r="9" spans="1:13" ht="34.9" customHeight="1" thickBot="1" x14ac:dyDescent="0.25">
      <c r="A9" s="72" t="s">
        <v>15</v>
      </c>
      <c r="B9" s="73" t="s">
        <v>41</v>
      </c>
      <c r="C9" s="37">
        <v>5</v>
      </c>
      <c r="D9" s="70">
        <f>+C9</f>
        <v>5</v>
      </c>
      <c r="E9" s="74">
        <v>1.9</v>
      </c>
      <c r="F9" s="69">
        <f>+C9*E9</f>
        <v>9.5</v>
      </c>
      <c r="G9" s="57"/>
      <c r="H9" s="57"/>
      <c r="I9" s="57"/>
      <c r="J9" s="57"/>
      <c r="K9" s="57"/>
      <c r="L9" s="57"/>
    </row>
    <row r="10" spans="1:13" ht="34.9" customHeight="1" thickTop="1" thickBot="1" x14ac:dyDescent="0.25">
      <c r="A10" s="75" t="str">
        <f>IF(Calc!I20,"Fluggewicht
und Moment","Beladung anpassen!")</f>
        <v>Fluggewicht
und Moment</v>
      </c>
      <c r="B10" s="76"/>
      <c r="C10" s="77"/>
      <c r="D10" s="77">
        <f>SUM(D3:D9)</f>
        <v>782.6</v>
      </c>
      <c r="E10" s="78"/>
      <c r="F10" s="79">
        <f>SUM(F3:F9)</f>
        <v>356.41039999999998</v>
      </c>
      <c r="G10" s="57"/>
      <c r="H10" s="57"/>
      <c r="I10" s="80"/>
      <c r="J10" s="57"/>
      <c r="K10" s="57"/>
      <c r="L10" s="57"/>
    </row>
    <row r="11" spans="1:13" ht="13.5" thickTop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3" ht="24" x14ac:dyDescent="0.2">
      <c r="A12" s="81" t="s">
        <v>39</v>
      </c>
      <c r="B12" s="82" t="str">
        <f>"gem. Wägung vom "&amp;TEXT(+VLOOKUP(RIGHT(ImmaAktuell,3),Table_GewichteHebel,4,FALSE),"T. MMM. JJJJ")</f>
        <v>gem. Wägung vom 26. Feb. 2019</v>
      </c>
      <c r="E12" s="57"/>
      <c r="F12" s="57"/>
      <c r="G12" s="57"/>
      <c r="H12" s="57"/>
      <c r="I12" s="57"/>
      <c r="J12" s="57"/>
      <c r="K12" s="57"/>
      <c r="L12" s="57"/>
    </row>
    <row r="13" spans="1:13" x14ac:dyDescent="0.2">
      <c r="A13" s="83" t="s">
        <v>10</v>
      </c>
      <c r="B13" s="84">
        <v>0.72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3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3" x14ac:dyDescent="0.2">
      <c r="A15" s="57" t="s">
        <v>11</v>
      </c>
    </row>
    <row r="16" spans="1:13" ht="15.75" x14ac:dyDescent="0.2">
      <c r="A16" s="85" t="s">
        <v>13</v>
      </c>
    </row>
    <row r="17" spans="1:1" ht="15.75" x14ac:dyDescent="0.2">
      <c r="A17" s="85" t="s">
        <v>12</v>
      </c>
    </row>
  </sheetData>
  <sheetProtection algorithmName="SHA-512" hashValue="Bui27GsxHUofxyEmWEM1FpNCTaHrl4EPWh0DGfG4xlfejixbxwfIiyxwR7t6JszDjrUPVptdL+FI0l/cMD3JHw==" saltValue="tCETGcqVlrVALcDLBeHujw==" spinCount="100000" sheet="1" selectLockedCells="1"/>
  <conditionalFormatting sqref="C5:C9">
    <cfRule type="cellIs" dxfId="15" priority="7" operator="equal">
      <formula>""</formula>
    </cfRule>
  </conditionalFormatting>
  <conditionalFormatting sqref="C4">
    <cfRule type="cellIs" dxfId="14" priority="6" operator="equal">
      <formula>""</formula>
    </cfRule>
  </conditionalFormatting>
  <dataValidations count="1">
    <dataValidation type="list" showInputMessage="1" showErrorMessage="1" error="Ungültige Eingabe" promptTitle="Flugzeug auswählen" prompt="Bitte Immatrikulation eingeben" sqref="A2" xr:uid="{15B57189-AE1D-4EC5-B67A-A3EDBEBBE41B}">
      <formula1>Immatrikulationen</formula1>
    </dataValidation>
  </dataValidation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&amp;C&amp;8ver. 1_3; November 2020</oddFooter>
  </headerFooter>
  <colBreaks count="1" manualBreakCount="1">
    <brk id="6" max="1048575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EC8A36A2-405F-4884-A348-6539ACA5C43F}">
            <xm:f>+Calc!$I$20=TRUE</xm:f>
            <x14:dxf>
              <font>
                <b/>
                <i val="0"/>
                <color theme="9" tint="-0.499984740745262"/>
              </font>
              <fill>
                <patternFill>
                  <bgColor theme="9" tint="0.39994506668294322"/>
                </patternFill>
              </fill>
            </x14:dxf>
          </x14:cfRule>
          <x14:cfRule type="expression" priority="10" id="{15CE6431-A002-406B-BAD1-F57E8E6D64EA}">
            <xm:f>+Calc!$I$20=FALSE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A10:F10</xm:sqref>
        </x14:conditionalFormatting>
        <x14:conditionalFormatting xmlns:xm="http://schemas.microsoft.com/office/excel/2006/main">
          <x14:cfRule type="expression" priority="1" id="{0305141C-9307-481C-B5FC-1351F084653C}">
            <xm:f>+Calc!$I$20=TRUE</xm:f>
            <x14:dxf>
              <font>
                <b/>
                <i val="0"/>
                <color theme="9" tint="-0.499984740745262"/>
              </font>
              <fill>
                <patternFill>
                  <bgColor theme="9" tint="0.39994506668294322"/>
                </patternFill>
              </fill>
            </x14:dxf>
          </x14:cfRule>
          <x14:cfRule type="expression" priority="2" id="{7F3C77CF-8C48-4062-9C76-D731D1955DEB}">
            <xm:f>+Calc!$I$20=FALSE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J1:M1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CE8-3489-4AD1-937C-7891B176C94C}">
  <dimension ref="A1:O103"/>
  <sheetViews>
    <sheetView workbookViewId="0">
      <pane ySplit="2" topLeftCell="A3" activePane="bottomLeft" state="frozen"/>
      <selection pane="bottomLeft" activeCell="L27" sqref="L27"/>
    </sheetView>
  </sheetViews>
  <sheetFormatPr defaultRowHeight="12.75" x14ac:dyDescent="0.2"/>
  <cols>
    <col min="1" max="1" width="6.7109375" customWidth="1"/>
    <col min="2" max="4" width="7.7109375" customWidth="1"/>
    <col min="6" max="6" width="4.7109375" customWidth="1"/>
    <col min="7" max="7" width="6" customWidth="1"/>
    <col min="8" max="9" width="9.7109375" customWidth="1"/>
    <col min="10" max="10" width="10.140625" bestFit="1" customWidth="1"/>
    <col min="11" max="11" width="3.7109375" customWidth="1"/>
    <col min="12" max="12" width="11.7109375" customWidth="1"/>
  </cols>
  <sheetData>
    <row r="1" spans="1:13" ht="12.4" customHeight="1" x14ac:dyDescent="0.2">
      <c r="B1" s="20" t="s">
        <v>26</v>
      </c>
      <c r="C1" s="11"/>
      <c r="D1" s="11"/>
      <c r="E1" s="11"/>
    </row>
    <row r="2" spans="1:13" x14ac:dyDescent="0.2">
      <c r="A2" s="8" t="s">
        <v>23</v>
      </c>
      <c r="B2" s="21" t="s">
        <v>27</v>
      </c>
      <c r="C2" s="21" t="s">
        <v>28</v>
      </c>
      <c r="D2" s="21" t="s">
        <v>31</v>
      </c>
      <c r="E2" s="21" t="s">
        <v>32</v>
      </c>
    </row>
    <row r="3" spans="1:13" x14ac:dyDescent="0.2">
      <c r="A3" s="9">
        <v>100</v>
      </c>
      <c r="B3" s="2">
        <f t="shared" ref="B3:B34" si="0">(g_02-g_01)/(m_02-m_01)*(A3-m_01)+g_01</f>
        <v>505.55555555555554</v>
      </c>
      <c r="C3" s="2">
        <f t="shared" ref="C3:C34" si="1">(g_03-g_02)/(m_03-m_02)*(A3-m_02)+750</f>
        <v>698.05555555555554</v>
      </c>
      <c r="D3" s="6">
        <f>+MIN(B3,C3)</f>
        <v>505.55555555555554</v>
      </c>
      <c r="E3" s="2">
        <f t="shared" ref="E3:E34" si="2">(g_04-g_05)/(m_04-m_05)*(A3-m_05)+g_05</f>
        <v>167.8</v>
      </c>
      <c r="G3" s="14" t="s">
        <v>25</v>
      </c>
      <c r="H3" s="15" t="s">
        <v>23</v>
      </c>
      <c r="I3" s="15" t="s">
        <v>24</v>
      </c>
      <c r="J3" s="26" t="s">
        <v>38</v>
      </c>
    </row>
    <row r="4" spans="1:13" x14ac:dyDescent="0.2">
      <c r="A4" s="9">
        <v>105</v>
      </c>
      <c r="B4" s="2">
        <f t="shared" si="0"/>
        <v>527.77777777777783</v>
      </c>
      <c r="C4" s="2">
        <f t="shared" si="1"/>
        <v>702.77777777777783</v>
      </c>
      <c r="D4" s="6">
        <f t="shared" ref="D4:D53" si="3">+MIN(B4,C4)</f>
        <v>527.77777777777783</v>
      </c>
      <c r="E4" s="2">
        <f t="shared" si="2"/>
        <v>176.89999999999998</v>
      </c>
      <c r="G4" s="3" t="s">
        <v>17</v>
      </c>
      <c r="H4" s="5">
        <v>1E-4</v>
      </c>
      <c r="I4" s="5">
        <v>550</v>
      </c>
      <c r="J4" s="25">
        <f t="shared" ref="J4:J10" si="4">+GewichtAktuell</f>
        <v>782.6</v>
      </c>
      <c r="M4" s="7"/>
    </row>
    <row r="5" spans="1:13" x14ac:dyDescent="0.2">
      <c r="A5" s="9">
        <v>110</v>
      </c>
      <c r="B5" s="2">
        <f t="shared" si="0"/>
        <v>550</v>
      </c>
      <c r="C5" s="2">
        <f t="shared" si="1"/>
        <v>707.5</v>
      </c>
      <c r="D5" s="6">
        <f t="shared" si="3"/>
        <v>550</v>
      </c>
      <c r="E5" s="2">
        <f t="shared" si="2"/>
        <v>186</v>
      </c>
      <c r="G5" s="3" t="s">
        <v>18</v>
      </c>
      <c r="H5" s="5">
        <f>+VLOOKUP(+RIGHT(ImmaAktuell,3)&amp;Table1[[#This Row],[P]],Table_SchwerpktBereich,2,FALSE)</f>
        <v>110</v>
      </c>
      <c r="I5" s="5">
        <f>+VLOOKUP(+RIGHT(ImmaAktuell,3)&amp;Table1[[#This Row],[P]],Table_SchwerpktBereich,3,FALSE)</f>
        <v>550</v>
      </c>
      <c r="J5" s="25">
        <f t="shared" si="4"/>
        <v>782.6</v>
      </c>
      <c r="M5" s="7" t="str">
        <f t="shared" ref="M5:M10" ca="1" si="5">_xlfn.FORMULATEXT(I5)</f>
        <v>=+VLOOKUP(+RIGHT(ImmaAktuell;3)&amp;[@P];Table_SchwerpktBereich;3;FALSE)</v>
      </c>
    </row>
    <row r="6" spans="1:13" x14ac:dyDescent="0.2">
      <c r="A6" s="9">
        <v>115</v>
      </c>
      <c r="B6" s="2">
        <f t="shared" si="0"/>
        <v>572.22222222222217</v>
      </c>
      <c r="C6" s="2">
        <f t="shared" si="1"/>
        <v>712.22222222222217</v>
      </c>
      <c r="D6" s="6">
        <f t="shared" si="3"/>
        <v>572.22222222222217</v>
      </c>
      <c r="E6" s="2">
        <f t="shared" si="2"/>
        <v>195.09999999999997</v>
      </c>
      <c r="G6" s="3" t="s">
        <v>19</v>
      </c>
      <c r="H6" s="5">
        <f>+VLOOKUP(+RIGHT(ImmaAktuell,3)&amp;Table1[[#This Row],[P]],Table_SchwerpktBereich,2,FALSE)</f>
        <v>155</v>
      </c>
      <c r="I6" s="5">
        <f>+VLOOKUP(+RIGHT(ImmaAktuell,3)&amp;Table1[[#This Row],[P]],Table_SchwerpktBereich,3,FALSE)</f>
        <v>750</v>
      </c>
      <c r="J6" s="25">
        <f t="shared" si="4"/>
        <v>782.6</v>
      </c>
      <c r="M6" s="7" t="str">
        <f t="shared" ca="1" si="5"/>
        <v>=+VLOOKUP(+RIGHT(ImmaAktuell;3)&amp;[@P];Table_SchwerpktBereich;3;FALSE)</v>
      </c>
    </row>
    <row r="7" spans="1:13" x14ac:dyDescent="0.2">
      <c r="A7" s="9">
        <v>120</v>
      </c>
      <c r="B7" s="2">
        <f t="shared" si="0"/>
        <v>594.44444444444446</v>
      </c>
      <c r="C7" s="2">
        <f t="shared" si="1"/>
        <v>716.94444444444446</v>
      </c>
      <c r="D7" s="6">
        <f t="shared" si="3"/>
        <v>594.44444444444446</v>
      </c>
      <c r="E7" s="2">
        <f t="shared" si="2"/>
        <v>204.2</v>
      </c>
      <c r="G7" s="3" t="s">
        <v>20</v>
      </c>
      <c r="H7" s="5">
        <f>+VLOOKUP(+RIGHT(ImmaAktuell,3)&amp;Table1[[#This Row],[P]],Table_SchwerpktBereich,2,FALSE)</f>
        <v>425</v>
      </c>
      <c r="I7" s="5">
        <f>+VLOOKUP(+RIGHT(ImmaAktuell,3)&amp;Table1[[#This Row],[P]],Table_SchwerpktBereich,3,FALSE)</f>
        <v>1005</v>
      </c>
      <c r="J7" s="25">
        <f t="shared" si="4"/>
        <v>782.6</v>
      </c>
      <c r="M7" s="7" t="str">
        <f t="shared" ca="1" si="5"/>
        <v>=+VLOOKUP(+RIGHT(ImmaAktuell;3)&amp;[@P];Table_SchwerpktBereich;3;FALSE)</v>
      </c>
    </row>
    <row r="8" spans="1:13" x14ac:dyDescent="0.2">
      <c r="A8" s="9">
        <v>125</v>
      </c>
      <c r="B8" s="2">
        <f t="shared" si="0"/>
        <v>616.66666666666663</v>
      </c>
      <c r="C8" s="2">
        <f t="shared" si="1"/>
        <v>721.66666666666663</v>
      </c>
      <c r="D8" s="6">
        <f t="shared" si="3"/>
        <v>616.66666666666663</v>
      </c>
      <c r="E8" s="2">
        <f t="shared" si="2"/>
        <v>213.3</v>
      </c>
      <c r="G8" s="3" t="s">
        <v>21</v>
      </c>
      <c r="H8" s="5">
        <f>+VLOOKUP(+RIGHT(ImmaAktuell,3)&amp;Table1[[#This Row],[P]],Table_SchwerpktBereich,2,FALSE)</f>
        <v>560</v>
      </c>
      <c r="I8" s="5">
        <f>+VLOOKUP(+RIGHT(ImmaAktuell,3)&amp;Table1[[#This Row],[P]],Table_SchwerpktBereich,3,FALSE)</f>
        <v>1005</v>
      </c>
      <c r="J8" s="25">
        <f t="shared" si="4"/>
        <v>782.6</v>
      </c>
      <c r="M8" s="7" t="str">
        <f t="shared" ca="1" si="5"/>
        <v>=+VLOOKUP(+RIGHT(ImmaAktuell;3)&amp;[@P];Table_SchwerpktBereich;3;FALSE)</v>
      </c>
    </row>
    <row r="9" spans="1:13" x14ac:dyDescent="0.2">
      <c r="A9" s="9">
        <v>130</v>
      </c>
      <c r="B9" s="2">
        <f t="shared" si="0"/>
        <v>638.88888888888891</v>
      </c>
      <c r="C9" s="2">
        <f t="shared" si="1"/>
        <v>726.38888888888891</v>
      </c>
      <c r="D9" s="6">
        <f t="shared" si="3"/>
        <v>638.88888888888891</v>
      </c>
      <c r="E9" s="2">
        <f t="shared" si="2"/>
        <v>222.39999999999998</v>
      </c>
      <c r="G9" s="3" t="s">
        <v>22</v>
      </c>
      <c r="H9" s="5">
        <f>+VLOOKUP(+RIGHT(ImmaAktuell,3)&amp;Table1[[#This Row],[P]],Table_SchwerpktBereich,2,FALSE)</f>
        <v>310</v>
      </c>
      <c r="I9" s="5">
        <f>+VLOOKUP(+RIGHT(ImmaAktuell,3)&amp;Table1[[#This Row],[P]],Table_SchwerpktBereich,3,FALSE)</f>
        <v>550</v>
      </c>
      <c r="J9" s="25">
        <f t="shared" si="4"/>
        <v>782.6</v>
      </c>
      <c r="M9" s="7" t="str">
        <f t="shared" ca="1" si="5"/>
        <v>=+VLOOKUP(+RIGHT(ImmaAktuell;3)&amp;[@P];Table_SchwerpktBereich;3;FALSE)</v>
      </c>
    </row>
    <row r="10" spans="1:13" x14ac:dyDescent="0.2">
      <c r="A10" s="9">
        <v>135</v>
      </c>
      <c r="B10" s="2">
        <f t="shared" si="0"/>
        <v>661.11111111111109</v>
      </c>
      <c r="C10" s="2">
        <f t="shared" si="1"/>
        <v>731.11111111111109</v>
      </c>
      <c r="D10" s="6">
        <f t="shared" si="3"/>
        <v>661.11111111111109</v>
      </c>
      <c r="E10" s="2">
        <f t="shared" si="2"/>
        <v>231.5</v>
      </c>
      <c r="G10" s="3" t="s">
        <v>37</v>
      </c>
      <c r="H10" s="27">
        <f>+MomentAktuell</f>
        <v>356.41039999999998</v>
      </c>
      <c r="I10" s="27">
        <f>+GewichtAktuell</f>
        <v>782.6</v>
      </c>
      <c r="J10" s="25">
        <f t="shared" si="4"/>
        <v>782.6</v>
      </c>
      <c r="M10" s="7" t="str">
        <f t="shared" ca="1" si="5"/>
        <v>=+GewichtAktuell</v>
      </c>
    </row>
    <row r="11" spans="1:13" x14ac:dyDescent="0.2">
      <c r="A11" s="9">
        <v>140</v>
      </c>
      <c r="B11" s="2">
        <f t="shared" si="0"/>
        <v>683.33333333333337</v>
      </c>
      <c r="C11" s="2">
        <f t="shared" si="1"/>
        <v>735.83333333333337</v>
      </c>
      <c r="D11" s="6">
        <f t="shared" si="3"/>
        <v>683.33333333333337</v>
      </c>
      <c r="E11" s="2">
        <f t="shared" si="2"/>
        <v>240.59999999999997</v>
      </c>
      <c r="K11" s="7"/>
      <c r="L11" s="7"/>
    </row>
    <row r="12" spans="1:13" x14ac:dyDescent="0.2">
      <c r="A12" s="9">
        <v>145</v>
      </c>
      <c r="B12" s="2">
        <f t="shared" si="0"/>
        <v>705.55555555555554</v>
      </c>
      <c r="C12" s="2">
        <f t="shared" si="1"/>
        <v>740.55555555555554</v>
      </c>
      <c r="D12" s="6">
        <f t="shared" si="3"/>
        <v>705.55555555555554</v>
      </c>
      <c r="E12" s="2">
        <f t="shared" si="2"/>
        <v>249.7</v>
      </c>
      <c r="G12" s="10"/>
      <c r="H12" s="18" t="s">
        <v>30</v>
      </c>
      <c r="I12" s="19">
        <f>MAX(I5:I9)</f>
        <v>1005</v>
      </c>
      <c r="K12" s="7"/>
      <c r="L12" s="7"/>
    </row>
    <row r="13" spans="1:13" x14ac:dyDescent="0.2">
      <c r="A13" s="9">
        <v>150</v>
      </c>
      <c r="B13" s="2">
        <f t="shared" si="0"/>
        <v>727.77777777777783</v>
      </c>
      <c r="C13" s="2">
        <f t="shared" si="1"/>
        <v>745.27777777777783</v>
      </c>
      <c r="D13" s="6">
        <f t="shared" si="3"/>
        <v>727.77777777777783</v>
      </c>
      <c r="E13" s="2">
        <f t="shared" si="2"/>
        <v>258.8</v>
      </c>
      <c r="G13" s="10"/>
      <c r="H13" s="18" t="s">
        <v>29</v>
      </c>
      <c r="I13" s="19">
        <f>MAX(H5:H9)</f>
        <v>560</v>
      </c>
    </row>
    <row r="14" spans="1:13" x14ac:dyDescent="0.2">
      <c r="A14" s="9">
        <v>155</v>
      </c>
      <c r="B14" s="2">
        <f t="shared" si="0"/>
        <v>750</v>
      </c>
      <c r="C14" s="2">
        <f t="shared" si="1"/>
        <v>750</v>
      </c>
      <c r="D14" s="6">
        <f t="shared" si="3"/>
        <v>750</v>
      </c>
      <c r="E14" s="2">
        <f t="shared" si="2"/>
        <v>267.89999999999998</v>
      </c>
    </row>
    <row r="15" spans="1:13" x14ac:dyDescent="0.2">
      <c r="A15" s="9">
        <v>160</v>
      </c>
      <c r="B15" s="2">
        <f t="shared" si="0"/>
        <v>772.22222222222217</v>
      </c>
      <c r="C15" s="2">
        <f t="shared" si="1"/>
        <v>754.72222222222217</v>
      </c>
      <c r="D15" s="6">
        <f t="shared" si="3"/>
        <v>754.72222222222217</v>
      </c>
      <c r="E15" s="2">
        <f t="shared" si="2"/>
        <v>277</v>
      </c>
      <c r="G15" s="11"/>
      <c r="H15" s="12" t="s">
        <v>34</v>
      </c>
      <c r="I15" s="13">
        <f>VLOOKUP(MomentAktuell,Table_Moment_Gewicht,4,TRUE)</f>
        <v>938.88888888888891</v>
      </c>
      <c r="M15" s="7" t="str">
        <f ca="1">_xlfn.FORMULATEXT(I15)</f>
        <v>=VLOOKUP(MomentAktuell;Table_Moment_Gewicht;4;TRUE)</v>
      </c>
    </row>
    <row r="16" spans="1:13" x14ac:dyDescent="0.2">
      <c r="A16" s="9">
        <v>165</v>
      </c>
      <c r="B16" s="2">
        <f t="shared" si="0"/>
        <v>794.44444444444446</v>
      </c>
      <c r="C16" s="2">
        <f t="shared" si="1"/>
        <v>759.44444444444446</v>
      </c>
      <c r="D16" s="6">
        <f t="shared" si="3"/>
        <v>759.44444444444446</v>
      </c>
      <c r="E16" s="2">
        <f t="shared" si="2"/>
        <v>286.09999999999997</v>
      </c>
      <c r="G16" s="11"/>
      <c r="H16" s="12" t="s">
        <v>35</v>
      </c>
      <c r="I16" s="13">
        <f>VLOOKUP(MomentAktuell,Table_Moment_Gewicht,5,TRUE)</f>
        <v>631.9</v>
      </c>
      <c r="M16" s="7" t="str">
        <f ca="1">_xlfn.FORMULATEXT(I16)</f>
        <v>=VLOOKUP(MomentAktuell;Table_Moment_Gewicht;5;TRUE)</v>
      </c>
    </row>
    <row r="17" spans="1:15" x14ac:dyDescent="0.2">
      <c r="A17" s="9">
        <v>170</v>
      </c>
      <c r="B17" s="2">
        <f t="shared" si="0"/>
        <v>816.66666666666674</v>
      </c>
      <c r="C17" s="2">
        <f t="shared" si="1"/>
        <v>764.16666666666663</v>
      </c>
      <c r="D17" s="6">
        <f t="shared" si="3"/>
        <v>764.16666666666663</v>
      </c>
      <c r="E17" s="2">
        <f t="shared" si="2"/>
        <v>295.2</v>
      </c>
    </row>
    <row r="18" spans="1:15" x14ac:dyDescent="0.2">
      <c r="A18" s="9">
        <v>175</v>
      </c>
      <c r="B18" s="2">
        <f t="shared" si="0"/>
        <v>838.88888888888891</v>
      </c>
      <c r="C18" s="2">
        <f t="shared" si="1"/>
        <v>768.88888888888891</v>
      </c>
      <c r="D18" s="6">
        <f t="shared" si="3"/>
        <v>768.88888888888891</v>
      </c>
      <c r="E18" s="2">
        <f t="shared" si="2"/>
        <v>304.29999999999995</v>
      </c>
      <c r="H18" s="4" t="s">
        <v>33</v>
      </c>
      <c r="I18" s="16" t="b">
        <f>AND(GewichtAktuell&lt;Calc!I15,GewichtAktuell&gt;Calc!I16)</f>
        <v>1</v>
      </c>
      <c r="M18" s="7" t="str">
        <f ca="1">_xlfn.FORMULATEXT(I18)</f>
        <v>=AND(GewichtAktuell&lt;Calc!I15;GewichtAktuell&gt;Calc!I16)</v>
      </c>
    </row>
    <row r="19" spans="1:15" x14ac:dyDescent="0.2">
      <c r="A19" s="9">
        <v>180</v>
      </c>
      <c r="B19" s="2">
        <f t="shared" si="0"/>
        <v>861.11111111111109</v>
      </c>
      <c r="C19" s="2">
        <f t="shared" si="1"/>
        <v>773.61111111111109</v>
      </c>
      <c r="D19" s="6">
        <f t="shared" si="3"/>
        <v>773.61111111111109</v>
      </c>
      <c r="E19" s="2">
        <f t="shared" si="2"/>
        <v>313.39999999999998</v>
      </c>
      <c r="H19" s="4" t="s">
        <v>36</v>
      </c>
      <c r="I19" s="16" t="b">
        <f>IF(GewichtAktuell&lt;GewichtMax,TRUE,FALSE)</f>
        <v>1</v>
      </c>
      <c r="M19" s="7" t="str">
        <f ca="1">_xlfn.FORMULATEXT(I19)</f>
        <v>=IF(GewichtAktuell&lt;GewichtMax;TRUE;FALSE)</v>
      </c>
    </row>
    <row r="20" spans="1:15" x14ac:dyDescent="0.2">
      <c r="A20" s="9">
        <v>185</v>
      </c>
      <c r="B20" s="2">
        <f t="shared" si="0"/>
        <v>883.33333333333337</v>
      </c>
      <c r="C20" s="2">
        <f t="shared" si="1"/>
        <v>778.33333333333337</v>
      </c>
      <c r="D20" s="6">
        <f t="shared" si="3"/>
        <v>778.33333333333337</v>
      </c>
      <c r="E20" s="2">
        <f t="shared" si="2"/>
        <v>322.5</v>
      </c>
      <c r="H20" s="24" t="str">
        <f>IF(I20,"Beladung ok","Beladung anpassen!")</f>
        <v>Beladung ok</v>
      </c>
      <c r="I20" s="17" t="b">
        <f>AND(I18,I19)</f>
        <v>1</v>
      </c>
      <c r="M20" s="7" t="str">
        <f ca="1">_xlfn.FORMULATEXT(I20)</f>
        <v>=AND(I18;I19)</v>
      </c>
    </row>
    <row r="21" spans="1:15" x14ac:dyDescent="0.2">
      <c r="A21" s="9">
        <v>190</v>
      </c>
      <c r="B21" s="2">
        <f t="shared" si="0"/>
        <v>905.55555555555554</v>
      </c>
      <c r="C21" s="2">
        <f t="shared" si="1"/>
        <v>783.05555555555554</v>
      </c>
      <c r="D21" s="6">
        <f t="shared" si="3"/>
        <v>783.05555555555554</v>
      </c>
      <c r="E21" s="2">
        <f t="shared" si="2"/>
        <v>331.6</v>
      </c>
    </row>
    <row r="22" spans="1:15" x14ac:dyDescent="0.2">
      <c r="A22" s="9">
        <v>195</v>
      </c>
      <c r="B22" s="2">
        <f t="shared" si="0"/>
        <v>927.77777777777783</v>
      </c>
      <c r="C22" s="2">
        <f t="shared" si="1"/>
        <v>787.77777777777783</v>
      </c>
      <c r="D22" s="6">
        <f t="shared" si="3"/>
        <v>787.77777777777783</v>
      </c>
      <c r="E22" s="2">
        <f t="shared" si="2"/>
        <v>340.7</v>
      </c>
      <c r="G22" s="25" t="s">
        <v>56</v>
      </c>
      <c r="H22" s="22"/>
      <c r="I22" s="23"/>
    </row>
    <row r="23" spans="1:15" x14ac:dyDescent="0.2">
      <c r="A23" s="9">
        <v>200</v>
      </c>
      <c r="B23" s="2">
        <f t="shared" si="0"/>
        <v>950</v>
      </c>
      <c r="C23" s="2">
        <f t="shared" si="1"/>
        <v>792.5</v>
      </c>
      <c r="D23" s="6">
        <f t="shared" si="3"/>
        <v>792.5</v>
      </c>
      <c r="E23" s="2">
        <f t="shared" si="2"/>
        <v>349.79999999999995</v>
      </c>
      <c r="G23" s="1"/>
      <c r="H23" s="28" t="s">
        <v>23</v>
      </c>
      <c r="I23" s="28" t="s">
        <v>24</v>
      </c>
    </row>
    <row r="24" spans="1:15" x14ac:dyDescent="0.2">
      <c r="A24" s="9">
        <v>205</v>
      </c>
      <c r="B24" s="2">
        <f t="shared" si="0"/>
        <v>972.22222222222217</v>
      </c>
      <c r="C24" s="2">
        <f t="shared" si="1"/>
        <v>797.22222222222217</v>
      </c>
      <c r="D24" s="6">
        <f t="shared" si="3"/>
        <v>797.22222222222217</v>
      </c>
      <c r="E24" s="2">
        <f t="shared" si="2"/>
        <v>358.9</v>
      </c>
      <c r="G24" s="29" t="s">
        <v>42</v>
      </c>
      <c r="H24" s="29">
        <v>1E-4</v>
      </c>
      <c r="I24" s="29">
        <v>550</v>
      </c>
    </row>
    <row r="25" spans="1:15" x14ac:dyDescent="0.2">
      <c r="A25" s="9">
        <v>210</v>
      </c>
      <c r="B25" s="2">
        <f t="shared" si="0"/>
        <v>994.44444444444446</v>
      </c>
      <c r="C25" s="2">
        <f t="shared" si="1"/>
        <v>801.94444444444446</v>
      </c>
      <c r="D25" s="6">
        <f t="shared" si="3"/>
        <v>801.94444444444446</v>
      </c>
      <c r="E25" s="2">
        <f t="shared" si="2"/>
        <v>368</v>
      </c>
      <c r="G25" s="30" t="s">
        <v>43</v>
      </c>
      <c r="H25" s="30">
        <v>110</v>
      </c>
      <c r="I25" s="30">
        <v>550</v>
      </c>
    </row>
    <row r="26" spans="1:15" x14ac:dyDescent="0.2">
      <c r="A26" s="9">
        <v>215</v>
      </c>
      <c r="B26" s="2">
        <f t="shared" si="0"/>
        <v>1016.6666666666667</v>
      </c>
      <c r="C26" s="2">
        <f t="shared" si="1"/>
        <v>806.66666666666663</v>
      </c>
      <c r="D26" s="6">
        <f t="shared" si="3"/>
        <v>806.66666666666663</v>
      </c>
      <c r="E26" s="2">
        <f t="shared" si="2"/>
        <v>377.1</v>
      </c>
      <c r="G26" s="29" t="s">
        <v>44</v>
      </c>
      <c r="H26" s="29">
        <v>155</v>
      </c>
      <c r="I26" s="29">
        <v>750</v>
      </c>
      <c r="L26" s="16" t="s">
        <v>61</v>
      </c>
      <c r="M26" s="1"/>
      <c r="N26" s="1"/>
    </row>
    <row r="27" spans="1:15" x14ac:dyDescent="0.2">
      <c r="A27" s="9">
        <v>220</v>
      </c>
      <c r="B27" s="2">
        <f t="shared" si="0"/>
        <v>1038.8888888888889</v>
      </c>
      <c r="C27" s="2">
        <f t="shared" si="1"/>
        <v>811.38888888888891</v>
      </c>
      <c r="D27" s="6">
        <f t="shared" si="3"/>
        <v>811.38888888888891</v>
      </c>
      <c r="E27" s="2">
        <f t="shared" si="2"/>
        <v>386.2</v>
      </c>
      <c r="G27" s="30" t="s">
        <v>45</v>
      </c>
      <c r="H27" s="30">
        <v>425</v>
      </c>
      <c r="I27" s="30">
        <v>1005</v>
      </c>
      <c r="L27" s="54">
        <v>44140</v>
      </c>
      <c r="M27" s="47" t="s">
        <v>62</v>
      </c>
      <c r="N27" s="41"/>
      <c r="O27" s="42"/>
    </row>
    <row r="28" spans="1:15" x14ac:dyDescent="0.2">
      <c r="A28" s="9">
        <v>225</v>
      </c>
      <c r="B28" s="2">
        <f t="shared" si="0"/>
        <v>1061.1111111111111</v>
      </c>
      <c r="C28" s="2">
        <f t="shared" si="1"/>
        <v>816.11111111111109</v>
      </c>
      <c r="D28" s="6">
        <f t="shared" si="3"/>
        <v>816.11111111111109</v>
      </c>
      <c r="E28" s="2">
        <f t="shared" si="2"/>
        <v>395.29999999999995</v>
      </c>
      <c r="G28" s="29" t="s">
        <v>46</v>
      </c>
      <c r="H28" s="29">
        <v>560</v>
      </c>
      <c r="I28" s="29">
        <v>1005</v>
      </c>
      <c r="L28" s="48"/>
      <c r="M28" s="49" t="s">
        <v>63</v>
      </c>
      <c r="N28" s="43"/>
      <c r="O28" s="44"/>
    </row>
    <row r="29" spans="1:15" x14ac:dyDescent="0.2">
      <c r="A29" s="9">
        <v>230</v>
      </c>
      <c r="B29" s="2">
        <f t="shared" si="0"/>
        <v>1083.3333333333335</v>
      </c>
      <c r="C29" s="2">
        <f t="shared" si="1"/>
        <v>820.83333333333337</v>
      </c>
      <c r="D29" s="6">
        <f t="shared" si="3"/>
        <v>820.83333333333337</v>
      </c>
      <c r="E29" s="2">
        <f t="shared" si="2"/>
        <v>404.4</v>
      </c>
      <c r="G29" s="30" t="s">
        <v>47</v>
      </c>
      <c r="H29" s="30">
        <v>310</v>
      </c>
      <c r="I29" s="30">
        <v>550</v>
      </c>
      <c r="L29" s="50"/>
      <c r="M29" s="51"/>
      <c r="N29" s="45"/>
      <c r="O29" s="42"/>
    </row>
    <row r="30" spans="1:15" x14ac:dyDescent="0.2">
      <c r="A30" s="9">
        <v>235</v>
      </c>
      <c r="B30" s="2">
        <f t="shared" si="0"/>
        <v>1105.5555555555557</v>
      </c>
      <c r="C30" s="2">
        <f t="shared" si="1"/>
        <v>825.55555555555554</v>
      </c>
      <c r="D30" s="6">
        <f t="shared" si="3"/>
        <v>825.55555555555554</v>
      </c>
      <c r="E30" s="2">
        <f t="shared" si="2"/>
        <v>413.5</v>
      </c>
      <c r="G30" s="29" t="s">
        <v>48</v>
      </c>
      <c r="H30" s="29">
        <v>1E-4</v>
      </c>
      <c r="I30" s="29">
        <v>550</v>
      </c>
      <c r="L30" s="52"/>
      <c r="M30" s="53"/>
      <c r="N30" s="46"/>
      <c r="O30" s="44"/>
    </row>
    <row r="31" spans="1:15" x14ac:dyDescent="0.2">
      <c r="A31" s="9">
        <v>240</v>
      </c>
      <c r="B31" s="2">
        <f t="shared" si="0"/>
        <v>1127.7777777777778</v>
      </c>
      <c r="C31" s="2">
        <f t="shared" si="1"/>
        <v>830.27777777777783</v>
      </c>
      <c r="D31" s="6">
        <f t="shared" si="3"/>
        <v>830.27777777777783</v>
      </c>
      <c r="E31" s="2">
        <f t="shared" si="2"/>
        <v>422.6</v>
      </c>
      <c r="G31" s="30" t="s">
        <v>49</v>
      </c>
      <c r="H31" s="30">
        <v>111</v>
      </c>
      <c r="I31" s="30">
        <v>550</v>
      </c>
    </row>
    <row r="32" spans="1:15" x14ac:dyDescent="0.2">
      <c r="A32" s="9">
        <v>245</v>
      </c>
      <c r="B32" s="2">
        <f t="shared" si="0"/>
        <v>1150</v>
      </c>
      <c r="C32" s="2">
        <f t="shared" si="1"/>
        <v>835</v>
      </c>
      <c r="D32" s="6">
        <f t="shared" si="3"/>
        <v>835</v>
      </c>
      <c r="E32" s="2">
        <f t="shared" si="2"/>
        <v>431.7</v>
      </c>
      <c r="G32" s="29" t="s">
        <v>50</v>
      </c>
      <c r="H32" s="29">
        <v>150</v>
      </c>
      <c r="I32" s="29">
        <v>750</v>
      </c>
    </row>
    <row r="33" spans="1:10" x14ac:dyDescent="0.2">
      <c r="A33" s="9">
        <v>250</v>
      </c>
      <c r="B33" s="2">
        <f t="shared" si="0"/>
        <v>1172.2222222222222</v>
      </c>
      <c r="C33" s="2">
        <f t="shared" si="1"/>
        <v>839.72222222222217</v>
      </c>
      <c r="D33" s="6">
        <f t="shared" si="3"/>
        <v>839.72222222222217</v>
      </c>
      <c r="E33" s="2">
        <f t="shared" si="2"/>
        <v>440.8</v>
      </c>
      <c r="G33" s="30" t="s">
        <v>51</v>
      </c>
      <c r="H33" s="30">
        <v>425</v>
      </c>
      <c r="I33" s="30">
        <v>1000</v>
      </c>
    </row>
    <row r="34" spans="1:10" x14ac:dyDescent="0.2">
      <c r="A34" s="9">
        <v>255</v>
      </c>
      <c r="B34" s="2">
        <f t="shared" si="0"/>
        <v>1194.4444444444443</v>
      </c>
      <c r="C34" s="2">
        <f t="shared" si="1"/>
        <v>844.44444444444446</v>
      </c>
      <c r="D34" s="6">
        <f t="shared" si="3"/>
        <v>844.44444444444446</v>
      </c>
      <c r="E34" s="2">
        <f t="shared" si="2"/>
        <v>449.9</v>
      </c>
      <c r="G34" s="29" t="s">
        <v>52</v>
      </c>
      <c r="H34" s="29">
        <v>554</v>
      </c>
      <c r="I34" s="29">
        <v>1000</v>
      </c>
    </row>
    <row r="35" spans="1:10" x14ac:dyDescent="0.2">
      <c r="A35" s="9">
        <v>260</v>
      </c>
      <c r="B35" s="2">
        <f t="shared" ref="B35:B53" si="6">(g_02-g_01)/(m_02-m_01)*(A35-m_01)+g_01</f>
        <v>1216.6666666666667</v>
      </c>
      <c r="C35" s="2">
        <f t="shared" ref="C35:C53" si="7">(g_03-g_02)/(m_03-m_02)*(A35-m_02)+750</f>
        <v>849.16666666666663</v>
      </c>
      <c r="D35" s="6">
        <f t="shared" si="3"/>
        <v>849.16666666666663</v>
      </c>
      <c r="E35" s="2">
        <f t="shared" ref="E35:E53" si="8">(g_04-g_05)/(m_04-m_05)*(A35-m_05)+g_05</f>
        <v>459</v>
      </c>
      <c r="G35" s="30" t="s">
        <v>53</v>
      </c>
      <c r="H35" s="30">
        <v>311</v>
      </c>
      <c r="I35" s="30">
        <v>550</v>
      </c>
    </row>
    <row r="36" spans="1:10" x14ac:dyDescent="0.2">
      <c r="A36" s="9">
        <v>265</v>
      </c>
      <c r="B36" s="2">
        <f t="shared" si="6"/>
        <v>1238.8888888888889</v>
      </c>
      <c r="C36" s="2">
        <f t="shared" si="7"/>
        <v>853.88888888888891</v>
      </c>
      <c r="D36" s="6">
        <f t="shared" si="3"/>
        <v>853.88888888888891</v>
      </c>
      <c r="E36" s="2">
        <f t="shared" si="8"/>
        <v>468.1</v>
      </c>
    </row>
    <row r="37" spans="1:10" x14ac:dyDescent="0.2">
      <c r="A37" s="9">
        <v>270</v>
      </c>
      <c r="B37" s="2">
        <f t="shared" si="6"/>
        <v>1261.1111111111111</v>
      </c>
      <c r="C37" s="2">
        <f t="shared" si="7"/>
        <v>858.61111111111109</v>
      </c>
      <c r="D37" s="6">
        <f t="shared" si="3"/>
        <v>858.61111111111109</v>
      </c>
      <c r="E37" s="2">
        <f t="shared" si="8"/>
        <v>477.2</v>
      </c>
      <c r="G37" s="25" t="s">
        <v>58</v>
      </c>
      <c r="H37" s="1"/>
      <c r="I37" s="1"/>
      <c r="J37" s="1"/>
    </row>
    <row r="38" spans="1:10" x14ac:dyDescent="0.2">
      <c r="A38" s="9">
        <v>275</v>
      </c>
      <c r="B38" s="2">
        <f t="shared" si="6"/>
        <v>1283.3333333333335</v>
      </c>
      <c r="C38" s="2">
        <f t="shared" si="7"/>
        <v>863.33333333333337</v>
      </c>
      <c r="D38" s="6">
        <f t="shared" si="3"/>
        <v>863.33333333333337</v>
      </c>
      <c r="E38" s="2">
        <f t="shared" si="8"/>
        <v>486.3</v>
      </c>
      <c r="G38" s="1"/>
      <c r="H38" s="28" t="s">
        <v>26</v>
      </c>
      <c r="I38" s="28" t="s">
        <v>57</v>
      </c>
      <c r="J38" s="28" t="s">
        <v>59</v>
      </c>
    </row>
    <row r="39" spans="1:10" x14ac:dyDescent="0.2">
      <c r="A39" s="9">
        <v>280</v>
      </c>
      <c r="B39" s="2">
        <f t="shared" si="6"/>
        <v>1305.5555555555557</v>
      </c>
      <c r="C39" s="2">
        <f t="shared" si="7"/>
        <v>868.05555555555554</v>
      </c>
      <c r="D39" s="6">
        <f t="shared" si="3"/>
        <v>868.05555555555554</v>
      </c>
      <c r="E39" s="2">
        <f t="shared" si="8"/>
        <v>495.4</v>
      </c>
      <c r="G39" s="25" t="s">
        <v>55</v>
      </c>
      <c r="H39" s="32">
        <v>644.4</v>
      </c>
      <c r="I39" s="39">
        <v>0.40600000000000003</v>
      </c>
      <c r="J39" s="34">
        <v>43522</v>
      </c>
    </row>
    <row r="40" spans="1:10" x14ac:dyDescent="0.2">
      <c r="A40" s="9">
        <v>285</v>
      </c>
      <c r="B40" s="2">
        <f t="shared" si="6"/>
        <v>1327.7777777777778</v>
      </c>
      <c r="C40" s="2">
        <f t="shared" si="7"/>
        <v>872.77777777777783</v>
      </c>
      <c r="D40" s="6">
        <f t="shared" si="3"/>
        <v>872.77777777777783</v>
      </c>
      <c r="E40" s="2">
        <f t="shared" si="8"/>
        <v>504.5</v>
      </c>
      <c r="G40" s="25" t="s">
        <v>54</v>
      </c>
      <c r="H40" s="33">
        <v>627.79999999999995</v>
      </c>
      <c r="I40" s="40">
        <v>0.38550899999999999</v>
      </c>
      <c r="J40" s="35">
        <v>42228</v>
      </c>
    </row>
    <row r="41" spans="1:10" x14ac:dyDescent="0.2">
      <c r="A41" s="9">
        <v>290</v>
      </c>
      <c r="B41" s="2">
        <f t="shared" si="6"/>
        <v>1350</v>
      </c>
      <c r="C41" s="2">
        <f t="shared" si="7"/>
        <v>877.5</v>
      </c>
      <c r="D41" s="6">
        <f t="shared" si="3"/>
        <v>877.5</v>
      </c>
      <c r="E41" s="2">
        <f t="shared" si="8"/>
        <v>513.6</v>
      </c>
    </row>
    <row r="42" spans="1:10" x14ac:dyDescent="0.2">
      <c r="A42" s="9">
        <v>295</v>
      </c>
      <c r="B42" s="2">
        <f t="shared" si="6"/>
        <v>1372.2222222222222</v>
      </c>
      <c r="C42" s="2">
        <f t="shared" si="7"/>
        <v>882.22222222222217</v>
      </c>
      <c r="D42" s="6">
        <f t="shared" si="3"/>
        <v>882.22222222222217</v>
      </c>
      <c r="E42" s="2">
        <f t="shared" si="8"/>
        <v>522.70000000000005</v>
      </c>
      <c r="H42" s="31" t="s">
        <v>14</v>
      </c>
    </row>
    <row r="43" spans="1:10" x14ac:dyDescent="0.2">
      <c r="A43" s="9">
        <v>300</v>
      </c>
      <c r="B43" s="2">
        <f t="shared" si="6"/>
        <v>1394.4444444444443</v>
      </c>
      <c r="C43" s="2">
        <f t="shared" si="7"/>
        <v>886.94444444444446</v>
      </c>
      <c r="D43" s="6">
        <f t="shared" si="3"/>
        <v>886.94444444444446</v>
      </c>
      <c r="E43" s="2">
        <f t="shared" si="8"/>
        <v>531.79999999999995</v>
      </c>
      <c r="H43" s="31" t="s">
        <v>7</v>
      </c>
    </row>
    <row r="44" spans="1:10" x14ac:dyDescent="0.2">
      <c r="A44" s="9">
        <v>305</v>
      </c>
      <c r="B44" s="2">
        <f t="shared" si="6"/>
        <v>1416.6666666666667</v>
      </c>
      <c r="C44" s="2">
        <f t="shared" si="7"/>
        <v>891.66666666666663</v>
      </c>
      <c r="D44" s="6">
        <f t="shared" si="3"/>
        <v>891.66666666666663</v>
      </c>
      <c r="E44" s="2">
        <f t="shared" si="8"/>
        <v>540.9</v>
      </c>
    </row>
    <row r="45" spans="1:10" x14ac:dyDescent="0.2">
      <c r="A45" s="9">
        <v>310</v>
      </c>
      <c r="B45" s="2">
        <f t="shared" si="6"/>
        <v>1438.8888888888889</v>
      </c>
      <c r="C45" s="2">
        <f t="shared" si="7"/>
        <v>896.38888888888891</v>
      </c>
      <c r="D45" s="6">
        <f t="shared" si="3"/>
        <v>896.38888888888891</v>
      </c>
      <c r="E45" s="2">
        <f t="shared" si="8"/>
        <v>550</v>
      </c>
    </row>
    <row r="46" spans="1:10" x14ac:dyDescent="0.2">
      <c r="A46" s="9">
        <v>315</v>
      </c>
      <c r="B46" s="2">
        <f t="shared" si="6"/>
        <v>1461.1111111111113</v>
      </c>
      <c r="C46" s="2">
        <f t="shared" si="7"/>
        <v>901.11111111111109</v>
      </c>
      <c r="D46" s="6">
        <f t="shared" si="3"/>
        <v>901.11111111111109</v>
      </c>
      <c r="E46" s="2">
        <f t="shared" si="8"/>
        <v>559.1</v>
      </c>
    </row>
    <row r="47" spans="1:10" x14ac:dyDescent="0.2">
      <c r="A47" s="9">
        <v>320</v>
      </c>
      <c r="B47" s="2">
        <f t="shared" si="6"/>
        <v>1483.3333333333335</v>
      </c>
      <c r="C47" s="2">
        <f t="shared" si="7"/>
        <v>905.83333333333337</v>
      </c>
      <c r="D47" s="6">
        <f t="shared" si="3"/>
        <v>905.83333333333337</v>
      </c>
      <c r="E47" s="2">
        <f t="shared" si="8"/>
        <v>568.20000000000005</v>
      </c>
    </row>
    <row r="48" spans="1:10" x14ac:dyDescent="0.2">
      <c r="A48" s="9">
        <v>325</v>
      </c>
      <c r="B48" s="2">
        <f t="shared" si="6"/>
        <v>1505.5555555555557</v>
      </c>
      <c r="C48" s="2">
        <f t="shared" si="7"/>
        <v>910.55555555555554</v>
      </c>
      <c r="D48" s="6">
        <f t="shared" si="3"/>
        <v>910.55555555555554</v>
      </c>
      <c r="E48" s="2">
        <f t="shared" si="8"/>
        <v>577.29999999999995</v>
      </c>
    </row>
    <row r="49" spans="1:5" x14ac:dyDescent="0.2">
      <c r="A49" s="9">
        <v>330</v>
      </c>
      <c r="B49" s="2">
        <f t="shared" si="6"/>
        <v>1527.7777777777778</v>
      </c>
      <c r="C49" s="2">
        <f t="shared" si="7"/>
        <v>915.27777777777783</v>
      </c>
      <c r="D49" s="6">
        <f t="shared" si="3"/>
        <v>915.27777777777783</v>
      </c>
      <c r="E49" s="2">
        <f t="shared" si="8"/>
        <v>586.4</v>
      </c>
    </row>
    <row r="50" spans="1:5" x14ac:dyDescent="0.2">
      <c r="A50" s="9">
        <v>335</v>
      </c>
      <c r="B50" s="2">
        <f t="shared" si="6"/>
        <v>1550</v>
      </c>
      <c r="C50" s="2">
        <f t="shared" si="7"/>
        <v>920</v>
      </c>
      <c r="D50" s="6">
        <f t="shared" si="3"/>
        <v>920</v>
      </c>
      <c r="E50" s="2">
        <f t="shared" si="8"/>
        <v>595.5</v>
      </c>
    </row>
    <row r="51" spans="1:5" x14ac:dyDescent="0.2">
      <c r="A51" s="9">
        <v>340</v>
      </c>
      <c r="B51" s="2">
        <f t="shared" si="6"/>
        <v>1572.2222222222222</v>
      </c>
      <c r="C51" s="2">
        <f t="shared" si="7"/>
        <v>924.72222222222217</v>
      </c>
      <c r="D51" s="6">
        <f t="shared" si="3"/>
        <v>924.72222222222217</v>
      </c>
      <c r="E51" s="2">
        <f t="shared" si="8"/>
        <v>604.6</v>
      </c>
    </row>
    <row r="52" spans="1:5" x14ac:dyDescent="0.2">
      <c r="A52" s="9">
        <v>345</v>
      </c>
      <c r="B52" s="2">
        <f t="shared" si="6"/>
        <v>1594.4444444444446</v>
      </c>
      <c r="C52" s="2">
        <f t="shared" si="7"/>
        <v>929.44444444444446</v>
      </c>
      <c r="D52" s="6">
        <f t="shared" si="3"/>
        <v>929.44444444444446</v>
      </c>
      <c r="E52" s="2">
        <f t="shared" si="8"/>
        <v>613.70000000000005</v>
      </c>
    </row>
    <row r="53" spans="1:5" x14ac:dyDescent="0.2">
      <c r="A53" s="9">
        <v>350</v>
      </c>
      <c r="B53" s="2">
        <f t="shared" si="6"/>
        <v>1616.6666666666667</v>
      </c>
      <c r="C53" s="2">
        <f t="shared" si="7"/>
        <v>934.16666666666663</v>
      </c>
      <c r="D53" s="6">
        <f t="shared" si="3"/>
        <v>934.16666666666663</v>
      </c>
      <c r="E53" s="2">
        <f t="shared" si="8"/>
        <v>622.79999999999995</v>
      </c>
    </row>
    <row r="54" spans="1:5" x14ac:dyDescent="0.2">
      <c r="A54" s="9">
        <v>355</v>
      </c>
      <c r="B54" s="2">
        <f t="shared" ref="B54:B64" si="9">(g_02-g_01)/(m_02-m_01)*(A54-m_01)+g_01</f>
        <v>1638.8888888888889</v>
      </c>
      <c r="C54" s="2">
        <f t="shared" ref="C54:C64" si="10">(g_03-g_02)/(m_03-m_02)*(A54-m_02)+750</f>
        <v>938.88888888888891</v>
      </c>
      <c r="D54" s="6">
        <f t="shared" ref="D54:D64" si="11">+MIN(B54,C54)</f>
        <v>938.88888888888891</v>
      </c>
      <c r="E54" s="2">
        <f t="shared" ref="E54:E64" si="12">(g_04-g_05)/(m_04-m_05)*(A54-m_05)+g_05</f>
        <v>631.9</v>
      </c>
    </row>
    <row r="55" spans="1:5" x14ac:dyDescent="0.2">
      <c r="A55" s="9">
        <v>360</v>
      </c>
      <c r="B55" s="2">
        <f t="shared" si="9"/>
        <v>1661.1111111111111</v>
      </c>
      <c r="C55" s="2">
        <f t="shared" si="10"/>
        <v>943.61111111111109</v>
      </c>
      <c r="D55" s="6">
        <f t="shared" si="11"/>
        <v>943.61111111111109</v>
      </c>
      <c r="E55" s="2">
        <f t="shared" si="12"/>
        <v>641</v>
      </c>
    </row>
    <row r="56" spans="1:5" x14ac:dyDescent="0.2">
      <c r="A56" s="9">
        <v>365</v>
      </c>
      <c r="B56" s="2">
        <f t="shared" si="9"/>
        <v>1683.3333333333335</v>
      </c>
      <c r="C56" s="2">
        <f t="shared" si="10"/>
        <v>948.33333333333326</v>
      </c>
      <c r="D56" s="6">
        <f t="shared" si="11"/>
        <v>948.33333333333326</v>
      </c>
      <c r="E56" s="2">
        <f t="shared" si="12"/>
        <v>650.1</v>
      </c>
    </row>
    <row r="57" spans="1:5" x14ac:dyDescent="0.2">
      <c r="A57" s="9">
        <v>370</v>
      </c>
      <c r="B57" s="2">
        <f t="shared" si="9"/>
        <v>1705.5555555555557</v>
      </c>
      <c r="C57" s="2">
        <f t="shared" si="10"/>
        <v>953.05555555555554</v>
      </c>
      <c r="D57" s="6">
        <f t="shared" si="11"/>
        <v>953.05555555555554</v>
      </c>
      <c r="E57" s="2">
        <f t="shared" si="12"/>
        <v>659.2</v>
      </c>
    </row>
    <row r="58" spans="1:5" x14ac:dyDescent="0.2">
      <c r="A58" s="9">
        <v>375</v>
      </c>
      <c r="B58" s="2">
        <f t="shared" si="9"/>
        <v>1727.7777777777778</v>
      </c>
      <c r="C58" s="2">
        <f t="shared" si="10"/>
        <v>957.77777777777783</v>
      </c>
      <c r="D58" s="6">
        <f t="shared" si="11"/>
        <v>957.77777777777783</v>
      </c>
      <c r="E58" s="2">
        <f t="shared" si="12"/>
        <v>668.3</v>
      </c>
    </row>
    <row r="59" spans="1:5" x14ac:dyDescent="0.2">
      <c r="A59" s="9">
        <v>380</v>
      </c>
      <c r="B59" s="2">
        <f t="shared" si="9"/>
        <v>1750</v>
      </c>
      <c r="C59" s="2">
        <f t="shared" si="10"/>
        <v>962.5</v>
      </c>
      <c r="D59" s="6">
        <f t="shared" si="11"/>
        <v>962.5</v>
      </c>
      <c r="E59" s="2">
        <f t="shared" si="12"/>
        <v>677.4</v>
      </c>
    </row>
    <row r="60" spans="1:5" x14ac:dyDescent="0.2">
      <c r="A60" s="9">
        <v>385</v>
      </c>
      <c r="B60" s="2">
        <f t="shared" si="9"/>
        <v>1772.2222222222222</v>
      </c>
      <c r="C60" s="2">
        <f t="shared" si="10"/>
        <v>967.22222222222217</v>
      </c>
      <c r="D60" s="6">
        <f t="shared" si="11"/>
        <v>967.22222222222217</v>
      </c>
      <c r="E60" s="2">
        <f t="shared" si="12"/>
        <v>686.5</v>
      </c>
    </row>
    <row r="61" spans="1:5" x14ac:dyDescent="0.2">
      <c r="A61" s="9">
        <v>390</v>
      </c>
      <c r="B61" s="2">
        <f t="shared" si="9"/>
        <v>1794.4444444444446</v>
      </c>
      <c r="C61" s="2">
        <f t="shared" si="10"/>
        <v>971.94444444444446</v>
      </c>
      <c r="D61" s="6">
        <f t="shared" si="11"/>
        <v>971.94444444444446</v>
      </c>
      <c r="E61" s="2">
        <f t="shared" si="12"/>
        <v>695.6</v>
      </c>
    </row>
    <row r="62" spans="1:5" x14ac:dyDescent="0.2">
      <c r="A62" s="9">
        <v>395</v>
      </c>
      <c r="B62" s="2">
        <f t="shared" si="9"/>
        <v>1816.6666666666667</v>
      </c>
      <c r="C62" s="2">
        <f t="shared" si="10"/>
        <v>976.66666666666663</v>
      </c>
      <c r="D62" s="6">
        <f t="shared" si="11"/>
        <v>976.66666666666663</v>
      </c>
      <c r="E62" s="2">
        <f t="shared" si="12"/>
        <v>704.7</v>
      </c>
    </row>
    <row r="63" spans="1:5" x14ac:dyDescent="0.2">
      <c r="A63" s="9">
        <v>400</v>
      </c>
      <c r="B63" s="2">
        <f t="shared" si="9"/>
        <v>1838.8888888888889</v>
      </c>
      <c r="C63" s="2">
        <f t="shared" si="10"/>
        <v>981.38888888888891</v>
      </c>
      <c r="D63" s="6">
        <f t="shared" si="11"/>
        <v>981.38888888888891</v>
      </c>
      <c r="E63" s="2">
        <f t="shared" si="12"/>
        <v>713.8</v>
      </c>
    </row>
    <row r="64" spans="1:5" x14ac:dyDescent="0.2">
      <c r="A64" s="9">
        <v>405</v>
      </c>
      <c r="B64" s="2">
        <f t="shared" si="9"/>
        <v>1861.1111111111111</v>
      </c>
      <c r="C64" s="2">
        <f t="shared" si="10"/>
        <v>986.11111111111109</v>
      </c>
      <c r="D64" s="6">
        <f t="shared" si="11"/>
        <v>986.11111111111109</v>
      </c>
      <c r="E64" s="2">
        <f t="shared" si="12"/>
        <v>722.9</v>
      </c>
    </row>
    <row r="65" spans="1:5" x14ac:dyDescent="0.2">
      <c r="A65" s="9">
        <v>410</v>
      </c>
      <c r="B65" s="2">
        <f t="shared" ref="B65:B101" si="13">(g_02-g_01)/(m_02-m_01)*(A65-m_01)+g_01</f>
        <v>1883.3333333333335</v>
      </c>
      <c r="C65" s="2">
        <f t="shared" ref="C65:C101" si="14">(g_03-g_02)/(m_03-m_02)*(A65-m_02)+750</f>
        <v>990.83333333333326</v>
      </c>
      <c r="D65" s="6">
        <f t="shared" ref="D65:D101" si="15">+MIN(B65,C65)</f>
        <v>990.83333333333326</v>
      </c>
      <c r="E65" s="2">
        <f t="shared" ref="E65:E101" si="16">(g_04-g_05)/(m_04-m_05)*(A65-m_05)+g_05</f>
        <v>732</v>
      </c>
    </row>
    <row r="66" spans="1:5" x14ac:dyDescent="0.2">
      <c r="A66" s="9">
        <v>415</v>
      </c>
      <c r="B66" s="2">
        <f t="shared" si="13"/>
        <v>1905.5555555555557</v>
      </c>
      <c r="C66" s="2">
        <f t="shared" si="14"/>
        <v>995.55555555555554</v>
      </c>
      <c r="D66" s="6">
        <f t="shared" si="15"/>
        <v>995.55555555555554</v>
      </c>
      <c r="E66" s="2">
        <f t="shared" si="16"/>
        <v>741.1</v>
      </c>
    </row>
    <row r="67" spans="1:5" x14ac:dyDescent="0.2">
      <c r="A67" s="9">
        <v>420</v>
      </c>
      <c r="B67" s="2">
        <f t="shared" si="13"/>
        <v>1927.7777777777778</v>
      </c>
      <c r="C67" s="2">
        <f t="shared" si="14"/>
        <v>1000.2777777777778</v>
      </c>
      <c r="D67" s="6">
        <f t="shared" si="15"/>
        <v>1000.2777777777778</v>
      </c>
      <c r="E67" s="2">
        <f t="shared" si="16"/>
        <v>750.2</v>
      </c>
    </row>
    <row r="68" spans="1:5" x14ac:dyDescent="0.2">
      <c r="A68" s="9">
        <v>425</v>
      </c>
      <c r="B68" s="2">
        <f t="shared" si="13"/>
        <v>1950</v>
      </c>
      <c r="C68" s="2">
        <f t="shared" si="14"/>
        <v>1005</v>
      </c>
      <c r="D68" s="6">
        <f t="shared" si="15"/>
        <v>1005</v>
      </c>
      <c r="E68" s="2">
        <f t="shared" si="16"/>
        <v>759.3</v>
      </c>
    </row>
    <row r="69" spans="1:5" x14ac:dyDescent="0.2">
      <c r="A69" s="9">
        <v>430</v>
      </c>
      <c r="B69" s="2">
        <f t="shared" si="13"/>
        <v>1972.2222222222222</v>
      </c>
      <c r="C69" s="2">
        <f t="shared" si="14"/>
        <v>1009.7222222222222</v>
      </c>
      <c r="D69" s="6">
        <f t="shared" si="15"/>
        <v>1009.7222222222222</v>
      </c>
      <c r="E69" s="2">
        <f t="shared" si="16"/>
        <v>768.4</v>
      </c>
    </row>
    <row r="70" spans="1:5" x14ac:dyDescent="0.2">
      <c r="A70" s="9">
        <v>435</v>
      </c>
      <c r="B70" s="2">
        <f t="shared" si="13"/>
        <v>1994.4444444444446</v>
      </c>
      <c r="C70" s="2">
        <f t="shared" si="14"/>
        <v>1014.4444444444445</v>
      </c>
      <c r="D70" s="6">
        <f t="shared" si="15"/>
        <v>1014.4444444444445</v>
      </c>
      <c r="E70" s="2">
        <f t="shared" si="16"/>
        <v>777.5</v>
      </c>
    </row>
    <row r="71" spans="1:5" x14ac:dyDescent="0.2">
      <c r="A71" s="9">
        <v>440</v>
      </c>
      <c r="B71" s="2">
        <f t="shared" si="13"/>
        <v>2016.6666666666667</v>
      </c>
      <c r="C71" s="2">
        <f t="shared" si="14"/>
        <v>1019.1666666666667</v>
      </c>
      <c r="D71" s="6">
        <f t="shared" si="15"/>
        <v>1019.1666666666667</v>
      </c>
      <c r="E71" s="2">
        <f t="shared" si="16"/>
        <v>786.6</v>
      </c>
    </row>
    <row r="72" spans="1:5" x14ac:dyDescent="0.2">
      <c r="A72" s="9">
        <v>445</v>
      </c>
      <c r="B72" s="2">
        <f t="shared" si="13"/>
        <v>2038.8888888888889</v>
      </c>
      <c r="C72" s="2">
        <f t="shared" si="14"/>
        <v>1023.8888888888889</v>
      </c>
      <c r="D72" s="6">
        <f t="shared" si="15"/>
        <v>1023.8888888888889</v>
      </c>
      <c r="E72" s="2">
        <f t="shared" si="16"/>
        <v>795.7</v>
      </c>
    </row>
    <row r="73" spans="1:5" x14ac:dyDescent="0.2">
      <c r="A73" s="9">
        <v>450</v>
      </c>
      <c r="B73" s="2">
        <f t="shared" si="13"/>
        <v>2061.1111111111113</v>
      </c>
      <c r="C73" s="2">
        <f t="shared" si="14"/>
        <v>1028.6111111111111</v>
      </c>
      <c r="D73" s="6">
        <f t="shared" si="15"/>
        <v>1028.6111111111111</v>
      </c>
      <c r="E73" s="2">
        <f t="shared" si="16"/>
        <v>804.8</v>
      </c>
    </row>
    <row r="74" spans="1:5" x14ac:dyDescent="0.2">
      <c r="A74" s="9">
        <v>455</v>
      </c>
      <c r="B74" s="2">
        <f t="shared" si="13"/>
        <v>2083.3333333333335</v>
      </c>
      <c r="C74" s="2">
        <f t="shared" si="14"/>
        <v>1033.3333333333333</v>
      </c>
      <c r="D74" s="6">
        <f t="shared" si="15"/>
        <v>1033.3333333333333</v>
      </c>
      <c r="E74" s="2">
        <f t="shared" si="16"/>
        <v>813.90000000000009</v>
      </c>
    </row>
    <row r="75" spans="1:5" x14ac:dyDescent="0.2">
      <c r="A75" s="9">
        <v>460</v>
      </c>
      <c r="B75" s="2">
        <f t="shared" si="13"/>
        <v>2105.5555555555557</v>
      </c>
      <c r="C75" s="2">
        <f t="shared" si="14"/>
        <v>1038.0555555555557</v>
      </c>
      <c r="D75" s="6">
        <f t="shared" si="15"/>
        <v>1038.0555555555557</v>
      </c>
      <c r="E75" s="2">
        <f t="shared" si="16"/>
        <v>823</v>
      </c>
    </row>
    <row r="76" spans="1:5" x14ac:dyDescent="0.2">
      <c r="A76" s="9">
        <v>465</v>
      </c>
      <c r="B76" s="2">
        <f t="shared" si="13"/>
        <v>2127.7777777777778</v>
      </c>
      <c r="C76" s="2">
        <f t="shared" si="14"/>
        <v>1042.7777777777778</v>
      </c>
      <c r="D76" s="6">
        <f t="shared" si="15"/>
        <v>1042.7777777777778</v>
      </c>
      <c r="E76" s="2">
        <f t="shared" si="16"/>
        <v>832.1</v>
      </c>
    </row>
    <row r="77" spans="1:5" x14ac:dyDescent="0.2">
      <c r="A77" s="9">
        <v>470</v>
      </c>
      <c r="B77" s="2">
        <f t="shared" si="13"/>
        <v>2150</v>
      </c>
      <c r="C77" s="2">
        <f t="shared" si="14"/>
        <v>1047.5</v>
      </c>
      <c r="D77" s="6">
        <f t="shared" si="15"/>
        <v>1047.5</v>
      </c>
      <c r="E77" s="2">
        <f t="shared" si="16"/>
        <v>841.2</v>
      </c>
    </row>
    <row r="78" spans="1:5" x14ac:dyDescent="0.2">
      <c r="A78" s="9">
        <v>475</v>
      </c>
      <c r="B78" s="2">
        <f t="shared" si="13"/>
        <v>2172.2222222222226</v>
      </c>
      <c r="C78" s="2">
        <f t="shared" si="14"/>
        <v>1052.2222222222222</v>
      </c>
      <c r="D78" s="6">
        <f t="shared" si="15"/>
        <v>1052.2222222222222</v>
      </c>
      <c r="E78" s="2">
        <f t="shared" si="16"/>
        <v>850.3</v>
      </c>
    </row>
    <row r="79" spans="1:5" x14ac:dyDescent="0.2">
      <c r="A79" s="9">
        <v>480</v>
      </c>
      <c r="B79" s="2">
        <f t="shared" si="13"/>
        <v>2194.4444444444443</v>
      </c>
      <c r="C79" s="2">
        <f t="shared" si="14"/>
        <v>1056.9444444444443</v>
      </c>
      <c r="D79" s="6">
        <f t="shared" si="15"/>
        <v>1056.9444444444443</v>
      </c>
      <c r="E79" s="2">
        <f t="shared" si="16"/>
        <v>859.40000000000009</v>
      </c>
    </row>
    <row r="80" spans="1:5" x14ac:dyDescent="0.2">
      <c r="A80" s="9">
        <v>485</v>
      </c>
      <c r="B80" s="2">
        <f t="shared" si="13"/>
        <v>2216.666666666667</v>
      </c>
      <c r="C80" s="2">
        <f t="shared" si="14"/>
        <v>1061.6666666666667</v>
      </c>
      <c r="D80" s="6">
        <f t="shared" si="15"/>
        <v>1061.6666666666667</v>
      </c>
      <c r="E80" s="2">
        <f t="shared" si="16"/>
        <v>868.5</v>
      </c>
    </row>
    <row r="81" spans="1:5" x14ac:dyDescent="0.2">
      <c r="A81" s="9">
        <v>490</v>
      </c>
      <c r="B81" s="2">
        <f t="shared" si="13"/>
        <v>2238.8888888888887</v>
      </c>
      <c r="C81" s="2">
        <f t="shared" si="14"/>
        <v>1066.3888888888889</v>
      </c>
      <c r="D81" s="6">
        <f t="shared" si="15"/>
        <v>1066.3888888888889</v>
      </c>
      <c r="E81" s="2">
        <f t="shared" si="16"/>
        <v>877.6</v>
      </c>
    </row>
    <row r="82" spans="1:5" x14ac:dyDescent="0.2">
      <c r="A82" s="9">
        <v>495</v>
      </c>
      <c r="B82" s="2">
        <f t="shared" si="13"/>
        <v>2261.1111111111113</v>
      </c>
      <c r="C82" s="2">
        <f t="shared" si="14"/>
        <v>1071.1111111111111</v>
      </c>
      <c r="D82" s="6">
        <f t="shared" si="15"/>
        <v>1071.1111111111111</v>
      </c>
      <c r="E82" s="2">
        <f t="shared" si="16"/>
        <v>886.7</v>
      </c>
    </row>
    <row r="83" spans="1:5" x14ac:dyDescent="0.2">
      <c r="A83" s="9">
        <v>500</v>
      </c>
      <c r="B83" s="2">
        <f t="shared" si="13"/>
        <v>2283.3333333333335</v>
      </c>
      <c r="C83" s="2">
        <f t="shared" si="14"/>
        <v>1075.8333333333333</v>
      </c>
      <c r="D83" s="6">
        <f t="shared" si="15"/>
        <v>1075.8333333333333</v>
      </c>
      <c r="E83" s="2">
        <f t="shared" si="16"/>
        <v>895.8</v>
      </c>
    </row>
    <row r="84" spans="1:5" x14ac:dyDescent="0.2">
      <c r="A84" s="9">
        <v>505</v>
      </c>
      <c r="B84" s="2">
        <f t="shared" si="13"/>
        <v>2305.5555555555557</v>
      </c>
      <c r="C84" s="2">
        <f t="shared" si="14"/>
        <v>1080.5555555555557</v>
      </c>
      <c r="D84" s="6">
        <f t="shared" si="15"/>
        <v>1080.5555555555557</v>
      </c>
      <c r="E84" s="2">
        <f t="shared" si="16"/>
        <v>904.90000000000009</v>
      </c>
    </row>
    <row r="85" spans="1:5" x14ac:dyDescent="0.2">
      <c r="A85" s="9">
        <v>510</v>
      </c>
      <c r="B85" s="2">
        <f t="shared" si="13"/>
        <v>2327.7777777777778</v>
      </c>
      <c r="C85" s="2">
        <f t="shared" si="14"/>
        <v>1085.2777777777778</v>
      </c>
      <c r="D85" s="6">
        <f t="shared" si="15"/>
        <v>1085.2777777777778</v>
      </c>
      <c r="E85" s="2">
        <f t="shared" si="16"/>
        <v>914</v>
      </c>
    </row>
    <row r="86" spans="1:5" x14ac:dyDescent="0.2">
      <c r="A86" s="9">
        <v>515</v>
      </c>
      <c r="B86" s="2">
        <f t="shared" si="13"/>
        <v>2350</v>
      </c>
      <c r="C86" s="2">
        <f t="shared" si="14"/>
        <v>1090</v>
      </c>
      <c r="D86" s="6">
        <f t="shared" si="15"/>
        <v>1090</v>
      </c>
      <c r="E86" s="2">
        <f t="shared" si="16"/>
        <v>923.1</v>
      </c>
    </row>
    <row r="87" spans="1:5" x14ac:dyDescent="0.2">
      <c r="A87" s="9">
        <v>520</v>
      </c>
      <c r="B87" s="2">
        <f t="shared" si="13"/>
        <v>2372.2222222222226</v>
      </c>
      <c r="C87" s="2">
        <f t="shared" si="14"/>
        <v>1094.7222222222222</v>
      </c>
      <c r="D87" s="6">
        <f t="shared" si="15"/>
        <v>1094.7222222222222</v>
      </c>
      <c r="E87" s="2">
        <f t="shared" si="16"/>
        <v>932.2</v>
      </c>
    </row>
    <row r="88" spans="1:5" x14ac:dyDescent="0.2">
      <c r="A88" s="9">
        <v>525</v>
      </c>
      <c r="B88" s="2">
        <f t="shared" si="13"/>
        <v>2394.4444444444443</v>
      </c>
      <c r="C88" s="2">
        <f t="shared" si="14"/>
        <v>1099.4444444444443</v>
      </c>
      <c r="D88" s="6">
        <f t="shared" si="15"/>
        <v>1099.4444444444443</v>
      </c>
      <c r="E88" s="2">
        <f t="shared" si="16"/>
        <v>941.3</v>
      </c>
    </row>
    <row r="89" spans="1:5" x14ac:dyDescent="0.2">
      <c r="A89" s="9">
        <v>530</v>
      </c>
      <c r="B89" s="2">
        <f t="shared" si="13"/>
        <v>2416.666666666667</v>
      </c>
      <c r="C89" s="2">
        <f t="shared" si="14"/>
        <v>1104.1666666666667</v>
      </c>
      <c r="D89" s="6">
        <f t="shared" si="15"/>
        <v>1104.1666666666667</v>
      </c>
      <c r="E89" s="2">
        <f t="shared" si="16"/>
        <v>950.40000000000009</v>
      </c>
    </row>
    <row r="90" spans="1:5" x14ac:dyDescent="0.2">
      <c r="A90" s="9">
        <v>535</v>
      </c>
      <c r="B90" s="2">
        <f t="shared" si="13"/>
        <v>2438.8888888888887</v>
      </c>
      <c r="C90" s="2">
        <f t="shared" si="14"/>
        <v>1108.8888888888889</v>
      </c>
      <c r="D90" s="6">
        <f t="shared" si="15"/>
        <v>1108.8888888888889</v>
      </c>
      <c r="E90" s="2">
        <f t="shared" si="16"/>
        <v>959.5</v>
      </c>
    </row>
    <row r="91" spans="1:5" x14ac:dyDescent="0.2">
      <c r="A91" s="9">
        <v>540</v>
      </c>
      <c r="B91" s="2">
        <f t="shared" si="13"/>
        <v>2461.1111111111113</v>
      </c>
      <c r="C91" s="2">
        <f t="shared" si="14"/>
        <v>1113.6111111111111</v>
      </c>
      <c r="D91" s="6">
        <f t="shared" si="15"/>
        <v>1113.6111111111111</v>
      </c>
      <c r="E91" s="2">
        <f t="shared" si="16"/>
        <v>968.6</v>
      </c>
    </row>
    <row r="92" spans="1:5" x14ac:dyDescent="0.2">
      <c r="A92" s="9">
        <v>545</v>
      </c>
      <c r="B92" s="2">
        <f t="shared" si="13"/>
        <v>2483.3333333333335</v>
      </c>
      <c r="C92" s="2">
        <f t="shared" si="14"/>
        <v>1118.3333333333333</v>
      </c>
      <c r="D92" s="6">
        <f t="shared" si="15"/>
        <v>1118.3333333333333</v>
      </c>
      <c r="E92" s="2">
        <f t="shared" si="16"/>
        <v>977.7</v>
      </c>
    </row>
    <row r="93" spans="1:5" x14ac:dyDescent="0.2">
      <c r="A93" s="9">
        <v>550</v>
      </c>
      <c r="B93" s="2">
        <f t="shared" si="13"/>
        <v>2505.5555555555557</v>
      </c>
      <c r="C93" s="2">
        <f t="shared" si="14"/>
        <v>1123.0555555555557</v>
      </c>
      <c r="D93" s="6">
        <f t="shared" si="15"/>
        <v>1123.0555555555557</v>
      </c>
      <c r="E93" s="2">
        <f t="shared" si="16"/>
        <v>986.8</v>
      </c>
    </row>
    <row r="94" spans="1:5" x14ac:dyDescent="0.2">
      <c r="A94" s="9">
        <v>555</v>
      </c>
      <c r="B94" s="2">
        <f t="shared" si="13"/>
        <v>2527.7777777777778</v>
      </c>
      <c r="C94" s="2">
        <f t="shared" si="14"/>
        <v>1127.7777777777778</v>
      </c>
      <c r="D94" s="6">
        <f t="shared" si="15"/>
        <v>1127.7777777777778</v>
      </c>
      <c r="E94" s="2">
        <f t="shared" si="16"/>
        <v>995.90000000000009</v>
      </c>
    </row>
    <row r="95" spans="1:5" x14ac:dyDescent="0.2">
      <c r="A95" s="9">
        <v>560</v>
      </c>
      <c r="B95" s="2">
        <f t="shared" si="13"/>
        <v>2550</v>
      </c>
      <c r="C95" s="2">
        <f t="shared" si="14"/>
        <v>1132.5</v>
      </c>
      <c r="D95" s="6">
        <f t="shared" si="15"/>
        <v>1132.5</v>
      </c>
      <c r="E95" s="2">
        <f t="shared" si="16"/>
        <v>1005</v>
      </c>
    </row>
    <row r="96" spans="1:5" x14ac:dyDescent="0.2">
      <c r="A96" s="9">
        <v>565</v>
      </c>
      <c r="B96" s="2">
        <f t="shared" si="13"/>
        <v>2572.2222222222226</v>
      </c>
      <c r="C96" s="2">
        <f t="shared" si="14"/>
        <v>1137.2222222222222</v>
      </c>
      <c r="D96" s="6">
        <f t="shared" si="15"/>
        <v>1137.2222222222222</v>
      </c>
      <c r="E96" s="2">
        <f t="shared" si="16"/>
        <v>1014.1</v>
      </c>
    </row>
    <row r="97" spans="1:5" x14ac:dyDescent="0.2">
      <c r="A97" s="9">
        <v>570</v>
      </c>
      <c r="B97" s="2">
        <f t="shared" si="13"/>
        <v>2594.4444444444443</v>
      </c>
      <c r="C97" s="2">
        <f t="shared" si="14"/>
        <v>1141.9444444444443</v>
      </c>
      <c r="D97" s="6">
        <f t="shared" si="15"/>
        <v>1141.9444444444443</v>
      </c>
      <c r="E97" s="2">
        <f t="shared" si="16"/>
        <v>1023.2</v>
      </c>
    </row>
    <row r="98" spans="1:5" x14ac:dyDescent="0.2">
      <c r="A98" s="9">
        <v>575</v>
      </c>
      <c r="B98" s="2">
        <f t="shared" si="13"/>
        <v>2616.666666666667</v>
      </c>
      <c r="C98" s="2">
        <f t="shared" si="14"/>
        <v>1146.6666666666665</v>
      </c>
      <c r="D98" s="6">
        <f t="shared" si="15"/>
        <v>1146.6666666666665</v>
      </c>
      <c r="E98" s="2">
        <f t="shared" si="16"/>
        <v>1032.3</v>
      </c>
    </row>
    <row r="99" spans="1:5" x14ac:dyDescent="0.2">
      <c r="A99" s="9">
        <v>580</v>
      </c>
      <c r="B99" s="2">
        <f t="shared" si="13"/>
        <v>2638.8888888888891</v>
      </c>
      <c r="C99" s="2">
        <f t="shared" si="14"/>
        <v>1151.3888888888889</v>
      </c>
      <c r="D99" s="6">
        <f t="shared" si="15"/>
        <v>1151.3888888888889</v>
      </c>
      <c r="E99" s="2">
        <f t="shared" si="16"/>
        <v>1041.4000000000001</v>
      </c>
    </row>
    <row r="100" spans="1:5" x14ac:dyDescent="0.2">
      <c r="A100" s="9">
        <v>585</v>
      </c>
      <c r="B100" s="2">
        <f t="shared" si="13"/>
        <v>2661.1111111111113</v>
      </c>
      <c r="C100" s="2">
        <f t="shared" si="14"/>
        <v>1156.1111111111111</v>
      </c>
      <c r="D100" s="6">
        <f t="shared" si="15"/>
        <v>1156.1111111111111</v>
      </c>
      <c r="E100" s="2">
        <f t="shared" si="16"/>
        <v>1050.5</v>
      </c>
    </row>
    <row r="101" spans="1:5" x14ac:dyDescent="0.2">
      <c r="A101" s="9">
        <v>590</v>
      </c>
      <c r="B101" s="2">
        <f t="shared" si="13"/>
        <v>2683.3333333333335</v>
      </c>
      <c r="C101" s="2">
        <f t="shared" si="14"/>
        <v>1160.8333333333333</v>
      </c>
      <c r="D101" s="6">
        <f t="shared" si="15"/>
        <v>1160.8333333333333</v>
      </c>
      <c r="E101" s="2">
        <f t="shared" si="16"/>
        <v>1059.5999999999999</v>
      </c>
    </row>
    <row r="102" spans="1:5" x14ac:dyDescent="0.2">
      <c r="A102" s="9">
        <v>595</v>
      </c>
      <c r="B102" s="2">
        <f t="shared" ref="B102:B103" si="17">(g_02-g_01)/(m_02-m_01)*(A102-m_01)+g_01</f>
        <v>2705.5555555555557</v>
      </c>
      <c r="C102" s="2">
        <f t="shared" ref="C102:C103" si="18">(g_03-g_02)/(m_03-m_02)*(A102-m_02)+750</f>
        <v>1165.5555555555557</v>
      </c>
      <c r="D102" s="6">
        <f t="shared" ref="D102:D103" si="19">+MIN(B102,C102)</f>
        <v>1165.5555555555557</v>
      </c>
      <c r="E102" s="2">
        <f t="shared" ref="E102:E103" si="20">(g_04-g_05)/(m_04-m_05)*(A102-m_05)+g_05</f>
        <v>1068.7</v>
      </c>
    </row>
    <row r="103" spans="1:5" x14ac:dyDescent="0.2">
      <c r="A103" s="9">
        <v>600</v>
      </c>
      <c r="B103" s="2">
        <f t="shared" si="17"/>
        <v>2727.7777777777778</v>
      </c>
      <c r="C103" s="2">
        <f t="shared" si="18"/>
        <v>1170.2777777777778</v>
      </c>
      <c r="D103" s="6">
        <f t="shared" si="19"/>
        <v>1170.2777777777778</v>
      </c>
      <c r="E103" s="2">
        <f t="shared" si="20"/>
        <v>1077.8000000000002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&amp;C&amp;8ver. 1_3; November 2020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In_Output</vt:lpstr>
      <vt:lpstr>Calc</vt:lpstr>
      <vt:lpstr>In_Output!FuelSpezGewicht</vt:lpstr>
      <vt:lpstr>g_00</vt:lpstr>
      <vt:lpstr>g_01</vt:lpstr>
      <vt:lpstr>g_02</vt:lpstr>
      <vt:lpstr>g_03</vt:lpstr>
      <vt:lpstr>g_04</vt:lpstr>
      <vt:lpstr>g_05</vt:lpstr>
      <vt:lpstr>GewichtAktuell</vt:lpstr>
      <vt:lpstr>GewichtMax</vt:lpstr>
      <vt:lpstr>ImmaAktuell</vt:lpstr>
      <vt:lpstr>Immatrikulationen</vt:lpstr>
      <vt:lpstr>m_00</vt:lpstr>
      <vt:lpstr>m_01</vt:lpstr>
      <vt:lpstr>m_02</vt:lpstr>
      <vt:lpstr>m_03</vt:lpstr>
      <vt:lpstr>m_04</vt:lpstr>
      <vt:lpstr>m_05</vt:lpstr>
      <vt:lpstr>MomentAktuell</vt:lpstr>
      <vt:lpstr>MomentMax</vt:lpstr>
      <vt:lpstr>Calc!Print_Area</vt:lpstr>
      <vt:lpstr>Table_GewichteHebel</vt:lpstr>
      <vt:lpstr>Table_Moment_Gewicht</vt:lpstr>
      <vt:lpstr>Table_SchwerpktBereich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Böni</dc:creator>
  <cp:lastModifiedBy>Bruno Stocker</cp:lastModifiedBy>
  <cp:lastPrinted>2020-11-05T10:52:44Z</cp:lastPrinted>
  <dcterms:created xsi:type="dcterms:W3CDTF">2018-08-09T19:41:53Z</dcterms:created>
  <dcterms:modified xsi:type="dcterms:W3CDTF">2020-11-07T14:58:48Z</dcterms:modified>
</cp:coreProperties>
</file>